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y-my.sharepoint.com/personal/agebben_uwyo_edu/Documents/Project Folders/Cowboy clean fuels/"/>
    </mc:Choice>
  </mc:AlternateContent>
  <xr:revisionPtr revIDLastSave="598" documentId="8_{DE8E82ED-8160-45A6-8B77-DA81E7D1349D}" xr6:coauthVersionLast="47" xr6:coauthVersionMax="47" xr10:uidLastSave="{0083BA8F-F986-4E06-A3BD-29CCC13DEBE0}"/>
  <bookViews>
    <workbookView xWindow="28680" yWindow="-120" windowWidth="29040" windowHeight="15840" xr2:uid="{8F13DBCE-8F58-4D1D-8CC7-4E51BA9ABAFD}"/>
  </bookViews>
  <sheets>
    <sheet name="All" sheetId="1" r:id="rId1"/>
    <sheet name="Natual gas" sheetId="2" r:id="rId2"/>
    <sheet name="Beet Purchase" sheetId="3" r:id="rId3"/>
    <sheet name="Skid" sheetId="4" r:id="rId4"/>
    <sheet name="Facilities" sheetId="5" r:id="rId5"/>
    <sheet name="Shippin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C8" i="1"/>
  <c r="R7" i="1"/>
  <c r="R8" i="1"/>
  <c r="R9" i="1"/>
  <c r="R10" i="1"/>
  <c r="R11" i="1"/>
  <c r="R6" i="1"/>
  <c r="R5" i="1"/>
  <c r="Q6" i="1"/>
  <c r="Q7" i="1"/>
  <c r="Q8" i="1"/>
  <c r="Q9" i="1"/>
  <c r="Q10" i="1"/>
  <c r="Q11" i="1"/>
  <c r="Q5" i="1"/>
  <c r="P6" i="1"/>
  <c r="P7" i="1"/>
  <c r="P8" i="1"/>
  <c r="P9" i="1"/>
  <c r="P10" i="1"/>
  <c r="P11" i="1"/>
  <c r="P5" i="1"/>
  <c r="O6" i="1"/>
  <c r="O7" i="1"/>
  <c r="O8" i="1"/>
  <c r="O9" i="1"/>
  <c r="O10" i="1"/>
  <c r="O11" i="1"/>
  <c r="O5" i="1"/>
  <c r="E20" i="6"/>
  <c r="N6" i="1"/>
  <c r="N7" i="1"/>
  <c r="N8" i="1"/>
  <c r="N9" i="1"/>
  <c r="N10" i="1"/>
  <c r="N11" i="1"/>
  <c r="N5" i="1"/>
  <c r="C3" i="6"/>
  <c r="G20" i="6" s="1"/>
  <c r="C2" i="6"/>
  <c r="I23" i="6" s="1"/>
  <c r="G21" i="6"/>
  <c r="G22" i="6"/>
  <c r="G23" i="6"/>
  <c r="G24" i="6"/>
  <c r="G19" i="6"/>
  <c r="G18" i="6"/>
  <c r="K6" i="6"/>
  <c r="K7" i="6"/>
  <c r="K8" i="6"/>
  <c r="K9" i="6"/>
  <c r="K10" i="6"/>
  <c r="K11" i="6"/>
  <c r="K5" i="6"/>
  <c r="J6" i="6"/>
  <c r="J7" i="6"/>
  <c r="J8" i="6"/>
  <c r="J9" i="6"/>
  <c r="J10" i="6"/>
  <c r="J11" i="6"/>
  <c r="J5" i="6"/>
  <c r="I6" i="6"/>
  <c r="I7" i="6"/>
  <c r="I8" i="6"/>
  <c r="I9" i="6"/>
  <c r="I10" i="6"/>
  <c r="I11" i="6"/>
  <c r="I5" i="6"/>
  <c r="H6" i="6"/>
  <c r="H7" i="6"/>
  <c r="H8" i="6"/>
  <c r="H9" i="6"/>
  <c r="H10" i="6"/>
  <c r="H11" i="6"/>
  <c r="H5" i="6"/>
  <c r="G6" i="6"/>
  <c r="G7" i="6"/>
  <c r="G8" i="6"/>
  <c r="G9" i="6"/>
  <c r="G10" i="6"/>
  <c r="G11" i="6"/>
  <c r="G5" i="6"/>
  <c r="M6" i="1"/>
  <c r="M7" i="1"/>
  <c r="M8" i="1"/>
  <c r="M9" i="1"/>
  <c r="M10" i="1"/>
  <c r="M11" i="1"/>
  <c r="M5" i="1"/>
  <c r="L6" i="1"/>
  <c r="L7" i="1"/>
  <c r="L8" i="1"/>
  <c r="L9" i="1"/>
  <c r="L10" i="1"/>
  <c r="L11" i="1"/>
  <c r="L5" i="1"/>
  <c r="K6" i="1"/>
  <c r="K7" i="1"/>
  <c r="K8" i="1"/>
  <c r="K9" i="1"/>
  <c r="K10" i="1"/>
  <c r="K11" i="1"/>
  <c r="K5" i="1"/>
  <c r="J6" i="1"/>
  <c r="J7" i="1"/>
  <c r="J9" i="1"/>
  <c r="J10" i="1"/>
  <c r="J11" i="1"/>
  <c r="J5" i="1"/>
  <c r="I7" i="5"/>
  <c r="I8" i="5"/>
  <c r="I9" i="5"/>
  <c r="I10" i="5"/>
  <c r="I11" i="5"/>
  <c r="I12" i="5"/>
  <c r="I6" i="5"/>
  <c r="J7" i="5"/>
  <c r="J8" i="5"/>
  <c r="J9" i="5"/>
  <c r="J10" i="5"/>
  <c r="J11" i="5"/>
  <c r="J12" i="5"/>
  <c r="J6" i="5"/>
  <c r="H10" i="5"/>
  <c r="H9" i="5"/>
  <c r="G9" i="5"/>
  <c r="G8" i="5"/>
  <c r="I6" i="1"/>
  <c r="I7" i="1"/>
  <c r="I8" i="1"/>
  <c r="I9" i="1"/>
  <c r="I10" i="1"/>
  <c r="I11" i="1"/>
  <c r="I5" i="1"/>
  <c r="H6" i="1"/>
  <c r="H7" i="1"/>
  <c r="H8" i="1"/>
  <c r="H9" i="1"/>
  <c r="H10" i="1"/>
  <c r="H11" i="1"/>
  <c r="H5" i="1"/>
  <c r="H6" i="4"/>
  <c r="H7" i="4"/>
  <c r="H8" i="4"/>
  <c r="H9" i="4"/>
  <c r="H10" i="4"/>
  <c r="H11" i="4"/>
  <c r="H5" i="4"/>
  <c r="G6" i="4"/>
  <c r="G7" i="4"/>
  <c r="G8" i="4"/>
  <c r="G9" i="4"/>
  <c r="G10" i="4"/>
  <c r="G11" i="4"/>
  <c r="G5" i="4"/>
  <c r="F6" i="4"/>
  <c r="F7" i="4"/>
  <c r="F8" i="4"/>
  <c r="F9" i="4"/>
  <c r="F10" i="4"/>
  <c r="F11" i="4"/>
  <c r="F5" i="4"/>
  <c r="B2" i="4"/>
  <c r="E6" i="4"/>
  <c r="E7" i="4" s="1"/>
  <c r="E8" i="4" s="1"/>
  <c r="E9" i="4" s="1"/>
  <c r="E10" i="4" s="1"/>
  <c r="E11" i="4" s="1"/>
  <c r="G6" i="1"/>
  <c r="G7" i="1"/>
  <c r="G8" i="1"/>
  <c r="G9" i="1"/>
  <c r="G10" i="1"/>
  <c r="G11" i="1"/>
  <c r="G5" i="1"/>
  <c r="F6" i="1"/>
  <c r="F7" i="1"/>
  <c r="F8" i="1"/>
  <c r="F9" i="1"/>
  <c r="F10" i="1"/>
  <c r="F11" i="1"/>
  <c r="F5" i="1"/>
  <c r="E6" i="1"/>
  <c r="E7" i="1"/>
  <c r="E8" i="1"/>
  <c r="E9" i="1"/>
  <c r="E10" i="1"/>
  <c r="E11" i="1"/>
  <c r="E5" i="1"/>
  <c r="D6" i="1"/>
  <c r="D7" i="1"/>
  <c r="D8" i="1"/>
  <c r="D9" i="1"/>
  <c r="D10" i="1"/>
  <c r="D11" i="1"/>
  <c r="D5" i="1"/>
  <c r="F15" i="3"/>
  <c r="F16" i="3"/>
  <c r="F17" i="3"/>
  <c r="F18" i="3"/>
  <c r="F19" i="3"/>
  <c r="F20" i="3"/>
  <c r="F14" i="3"/>
  <c r="E15" i="3"/>
  <c r="E16" i="3"/>
  <c r="E17" i="3"/>
  <c r="E18" i="3"/>
  <c r="E19" i="3"/>
  <c r="E20" i="3"/>
  <c r="E14" i="3"/>
  <c r="D15" i="3"/>
  <c r="D16" i="3"/>
  <c r="D17" i="3"/>
  <c r="D18" i="3"/>
  <c r="D19" i="3"/>
  <c r="D20" i="3"/>
  <c r="D14" i="3"/>
  <c r="C15" i="3"/>
  <c r="C16" i="3"/>
  <c r="C17" i="3"/>
  <c r="C18" i="3"/>
  <c r="C19" i="3"/>
  <c r="C20" i="3"/>
  <c r="C14" i="3"/>
  <c r="I5" i="3"/>
  <c r="I6" i="3"/>
  <c r="I7" i="3"/>
  <c r="I8" i="3"/>
  <c r="I9" i="3"/>
  <c r="I10" i="3"/>
  <c r="I4" i="3"/>
  <c r="H5" i="3"/>
  <c r="H6" i="3"/>
  <c r="H7" i="3"/>
  <c r="H4" i="3"/>
  <c r="G5" i="3"/>
  <c r="G6" i="3"/>
  <c r="G7" i="3"/>
  <c r="G4" i="3"/>
  <c r="F9" i="3"/>
  <c r="G9" i="3" s="1"/>
  <c r="F10" i="3"/>
  <c r="H10" i="3" s="1"/>
  <c r="F8" i="3"/>
  <c r="G8" i="3" s="1"/>
  <c r="F7" i="3"/>
  <c r="C5" i="1"/>
  <c r="D5" i="2"/>
  <c r="E5" i="2" s="1"/>
  <c r="F5" i="2" s="1"/>
  <c r="G5" i="2" s="1"/>
  <c r="C10" i="2"/>
  <c r="C11" i="2" s="1"/>
  <c r="D11" i="2" s="1"/>
  <c r="E11" i="2" s="1"/>
  <c r="C9" i="2"/>
  <c r="D9" i="2" s="1"/>
  <c r="E9" i="2" s="1"/>
  <c r="C8" i="2"/>
  <c r="D8" i="2" s="1"/>
  <c r="E8" i="2" s="1"/>
  <c r="C7" i="2"/>
  <c r="D7" i="2" s="1"/>
  <c r="E7" i="2" s="1"/>
  <c r="C6" i="2"/>
  <c r="D6" i="2" s="1"/>
  <c r="E6" i="2" s="1"/>
  <c r="F6" i="2" s="1"/>
  <c r="G6" i="2" s="1"/>
  <c r="C6" i="1" s="1"/>
  <c r="J19" i="6" l="1"/>
  <c r="H24" i="6"/>
  <c r="H21" i="6"/>
  <c r="H20" i="6"/>
  <c r="I20" i="6"/>
  <c r="J23" i="6"/>
  <c r="K19" i="6"/>
  <c r="H23" i="6"/>
  <c r="H19" i="6"/>
  <c r="H18" i="6"/>
  <c r="I18" i="6"/>
  <c r="I21" i="6"/>
  <c r="K23" i="6"/>
  <c r="K21" i="6"/>
  <c r="I19" i="6"/>
  <c r="I22" i="6"/>
  <c r="J21" i="6"/>
  <c r="K18" i="6"/>
  <c r="K22" i="6"/>
  <c r="H22" i="6"/>
  <c r="I24" i="6"/>
  <c r="J18" i="6"/>
  <c r="J24" i="6"/>
  <c r="J22" i="6"/>
  <c r="J20" i="6"/>
  <c r="K24" i="6"/>
  <c r="K20" i="6"/>
  <c r="G10" i="3"/>
  <c r="H8" i="3"/>
  <c r="H9" i="3"/>
  <c r="D10" i="2"/>
  <c r="E10" i="2" s="1"/>
  <c r="F7" i="2"/>
  <c r="G7" i="2" s="1"/>
  <c r="C7" i="1" s="1"/>
  <c r="F8" i="2"/>
  <c r="G8" i="2" s="1"/>
  <c r="F9" i="2"/>
  <c r="G9" i="2" s="1"/>
  <c r="C9" i="1" s="1"/>
  <c r="F11" i="2"/>
  <c r="G11" i="2" s="1"/>
  <c r="C11" i="1" s="1"/>
  <c r="F10" i="2"/>
  <c r="G10" i="2" s="1"/>
  <c r="C10" i="1" s="1"/>
</calcChain>
</file>

<file path=xl/sharedStrings.xml><?xml version="1.0" encoding="utf-8"?>
<sst xmlns="http://schemas.openxmlformats.org/spreadsheetml/2006/main" count="123" uniqueCount="78">
  <si>
    <t>Gas production</t>
  </si>
  <si>
    <t>Weston</t>
  </si>
  <si>
    <t>Beet Syrup purchase from Washakie</t>
  </si>
  <si>
    <t>Washakie Beet input purchases</t>
  </si>
  <si>
    <t>Skid maint. cost</t>
  </si>
  <si>
    <t>County</t>
  </si>
  <si>
    <t>Campbell</t>
  </si>
  <si>
    <t>Washakie</t>
  </si>
  <si>
    <t>Beet Syrup Purchase National To Campbell</t>
  </si>
  <si>
    <t>Facility (Washakie)</t>
  </si>
  <si>
    <t>Re-Develop facility (GOSHEN)</t>
  </si>
  <si>
    <t>Goshen</t>
  </si>
  <si>
    <t>Goshen Beet input Purchases</t>
  </si>
  <si>
    <t>National</t>
  </si>
  <si>
    <t>Shipping Rail Out of State</t>
  </si>
  <si>
    <t>Shipping Truck Out of State</t>
  </si>
  <si>
    <t>Shipping Truck from (purchased SBS) Washakie to Campbell</t>
  </si>
  <si>
    <t>Shipping Truck of SBS from Washakie Facility to Campbell</t>
  </si>
  <si>
    <t>Shipping Truck of SBS from Goshen Facility to Campbell</t>
  </si>
  <si>
    <t>NG price</t>
  </si>
  <si>
    <t>Cubic Feet</t>
  </si>
  <si>
    <t>BTU</t>
  </si>
  <si>
    <t>Million Btu</t>
  </si>
  <si>
    <t>https://www.eia.gov/dnav/ng/hist/rngwhhdm.htm</t>
  </si>
  <si>
    <t>Thousand Cubic Feet</t>
  </si>
  <si>
    <t>Price</t>
  </si>
  <si>
    <t>Future</t>
  </si>
  <si>
    <t>https://www.cmegroup.com/markets/energy/natural-gas/natural-gas.quotes.html</t>
  </si>
  <si>
    <t>Spot</t>
  </si>
  <si>
    <t>Total SBS</t>
  </si>
  <si>
    <t>Wyoming Sugar</t>
  </si>
  <si>
    <t>Produced SBS Total</t>
  </si>
  <si>
    <t>Washakie Production</t>
  </si>
  <si>
    <t>Goshen Production</t>
  </si>
  <si>
    <t>Washakie Ratio of Capital Invested</t>
  </si>
  <si>
    <t>Year</t>
  </si>
  <si>
    <t>Out of State Purchase</t>
  </si>
  <si>
    <t>SBS purchase Price</t>
  </si>
  <si>
    <t>Beet per SBS purchase price</t>
  </si>
  <si>
    <t>Wyoming Sugar (Washakie )</t>
  </si>
  <si>
    <t>Washakie SBS Purchase</t>
  </si>
  <si>
    <t>Washakie Beet Purchase</t>
  </si>
  <si>
    <t>Goshen Beet Purchase</t>
  </si>
  <si>
    <t>Beet purchase values</t>
  </si>
  <si>
    <t>Active Construction</t>
  </si>
  <si>
    <t>Cummulative Locations</t>
  </si>
  <si>
    <t>Total Construction Cost</t>
  </si>
  <si>
    <t>Construction Cost</t>
  </si>
  <si>
    <t>Mainenance Cost</t>
  </si>
  <si>
    <t>Each Category Cost
 (Drilling, Building, Equipment)</t>
  </si>
  <si>
    <t>Maintance Cost</t>
  </si>
  <si>
    <t>1/3 Skid const. cost</t>
  </si>
  <si>
    <t>OpEx Washakie</t>
  </si>
  <si>
    <t>OpEx Goshen</t>
  </si>
  <si>
    <t>Construction</t>
  </si>
  <si>
    <t>OpEx</t>
  </si>
  <si>
    <t>Full OpEx</t>
  </si>
  <si>
    <t>per ton SBS</t>
  </si>
  <si>
    <t>Out of State</t>
  </si>
  <si>
    <t>Type</t>
  </si>
  <si>
    <t>Rail</t>
  </si>
  <si>
    <t>Distance</t>
  </si>
  <si>
    <t>Out of State to Upton</t>
  </si>
  <si>
    <t>Upton to Campbell</t>
  </si>
  <si>
    <t>Truck</t>
  </si>
  <si>
    <t>County of Payment</t>
  </si>
  <si>
    <t>None</t>
  </si>
  <si>
    <t>Wyoming Sugar to Campbell</t>
  </si>
  <si>
    <t>Washakie to Campbell</t>
  </si>
  <si>
    <t>Goshen to Campbell</t>
  </si>
  <si>
    <t>Out of State Rail</t>
  </si>
  <si>
    <t>Washakie Facility</t>
  </si>
  <si>
    <t>Goshen Facility</t>
  </si>
  <si>
    <t>Ton-Miles per year</t>
  </si>
  <si>
    <t>https://www.bts.gov/content/average-freight-revenue-ton-mile</t>
  </si>
  <si>
    <t>Truck Cost (present USD per ton-mile)</t>
  </si>
  <si>
    <t>Rail Cost</t>
  </si>
  <si>
    <t>From Facilities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</si>
</sst>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9" formatCode="&quot;$&quot;#,##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ptos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9">
    <xf numFmtId="0" fontId="0" fillId="0" borderId="0" xfId="0"/>
    <xf numFmtId="0" fontId="0" fillId="3" borderId="0" xfId="0" applyFill="1"/>
    <xf numFmtId="0" fontId="2" fillId="4" borderId="0" xfId="0" applyFont="1" applyFill="1"/>
    <xf numFmtId="0" fontId="2" fillId="2" borderId="0" xfId="0" applyFont="1" applyFill="1"/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Fill="1"/>
    <xf numFmtId="0" fontId="3" fillId="0" borderId="0" xfId="2" applyAlignment="1">
      <alignment horizontal="center"/>
    </xf>
    <xf numFmtId="169" fontId="0" fillId="0" borderId="0" xfId="1" applyNumberFormat="1" applyFont="1"/>
    <xf numFmtId="0" fontId="0" fillId="0" borderId="0" xfId="0" applyAlignment="1">
      <alignment horizontal="center"/>
    </xf>
    <xf numFmtId="169" fontId="0" fillId="0" borderId="0" xfId="0" applyNumberFormat="1"/>
    <xf numFmtId="3" fontId="0" fillId="0" borderId="0" xfId="0" applyNumberFormat="1"/>
    <xf numFmtId="3" fontId="4" fillId="0" borderId="0" xfId="0" applyNumberFormat="1" applyFont="1"/>
    <xf numFmtId="0" fontId="0" fillId="0" borderId="0" xfId="0" applyFill="1" applyAlignment="1">
      <alignment horizontal="center" vertical="center"/>
    </xf>
    <xf numFmtId="2" fontId="0" fillId="0" borderId="0" xfId="0" applyNumberFormat="1"/>
    <xf numFmtId="0" fontId="0" fillId="7" borderId="0" xfId="0" applyFill="1"/>
    <xf numFmtId="0" fontId="2" fillId="0" borderId="0" xfId="0" applyFont="1" applyAlignment="1">
      <alignment horizontal="center"/>
    </xf>
    <xf numFmtId="0" fontId="2" fillId="8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9" borderId="0" xfId="0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Fill="1" applyBorder="1"/>
    <xf numFmtId="0" fontId="0" fillId="0" borderId="10" xfId="0" applyBorder="1"/>
    <xf numFmtId="0" fontId="0" fillId="0" borderId="0" xfId="0" applyBorder="1"/>
    <xf numFmtId="3" fontId="0" fillId="0" borderId="3" xfId="0" applyNumberFormat="1" applyBorder="1"/>
    <xf numFmtId="3" fontId="0" fillId="0" borderId="5" xfId="0" applyNumberFormat="1" applyBorder="1"/>
    <xf numFmtId="0" fontId="0" fillId="0" borderId="7" xfId="0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/>
    <xf numFmtId="0" fontId="2" fillId="0" borderId="9" xfId="0" applyFont="1" applyBorder="1"/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8" borderId="8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3" fontId="0" fillId="0" borderId="1" xfId="0" applyNumberFormat="1" applyBorder="1"/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3" fontId="0" fillId="0" borderId="23" xfId="0" applyNumberFormat="1" applyFill="1" applyBorder="1"/>
    <xf numFmtId="3" fontId="0" fillId="0" borderId="24" xfId="0" applyNumberFormat="1" applyFill="1" applyBorder="1"/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Fill="1" applyBorder="1"/>
    <xf numFmtId="0" fontId="0" fillId="0" borderId="26" xfId="0" applyFill="1" applyBorder="1"/>
    <xf numFmtId="0" fontId="0" fillId="0" borderId="26" xfId="0" applyBorder="1"/>
    <xf numFmtId="0" fontId="0" fillId="0" borderId="16" xfId="0" applyBorder="1"/>
    <xf numFmtId="0" fontId="0" fillId="0" borderId="13" xfId="0" applyFill="1" applyBorder="1"/>
    <xf numFmtId="0" fontId="0" fillId="0" borderId="14" xfId="0" applyFill="1" applyBorder="1"/>
    <xf numFmtId="0" fontId="0" fillId="0" borderId="15" xfId="0" applyFill="1" applyBorder="1"/>
    <xf numFmtId="0" fontId="0" fillId="0" borderId="16" xfId="0" applyFill="1" applyBorder="1"/>
    <xf numFmtId="0" fontId="2" fillId="3" borderId="22" xfId="0" applyFon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169" fontId="0" fillId="0" borderId="0" xfId="0" applyNumberForma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megroup.com/markets/energy/natural-gas/natural-gas.quotes.html" TargetMode="External"/><Relationship Id="rId1" Type="http://schemas.openxmlformats.org/officeDocument/2006/relationships/hyperlink" Target="https://www.eia.gov/dnav/ng/hist/rngwhhdm.ht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ts.gov/content/average-freight-revenue-ton-m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5A5D5-02E8-4E8A-91E6-FCE2B86839E2}">
  <dimension ref="A1:S12"/>
  <sheetViews>
    <sheetView tabSelected="1" workbookViewId="0">
      <selection activeCell="C11" sqref="C11"/>
    </sheetView>
  </sheetViews>
  <sheetFormatPr defaultRowHeight="15" x14ac:dyDescent="0.25"/>
  <cols>
    <col min="2" max="2" width="7" bestFit="1" customWidth="1"/>
    <col min="3" max="3" width="14.85546875" bestFit="1" customWidth="1"/>
    <col min="4" max="4" width="34.140625" bestFit="1" customWidth="1"/>
    <col min="5" max="5" width="40.140625" bestFit="1" customWidth="1"/>
    <col min="6" max="6" width="29.85546875" bestFit="1" customWidth="1"/>
    <col min="7" max="7" width="28" bestFit="1" customWidth="1"/>
    <col min="8" max="8" width="18.5703125" bestFit="1" customWidth="1"/>
    <col min="9" max="9" width="15.42578125" bestFit="1" customWidth="1"/>
    <col min="10" max="10" width="18.140625" bestFit="1" customWidth="1"/>
    <col min="11" max="11" width="27" bestFit="1" customWidth="1"/>
    <col min="12" max="12" width="15" bestFit="1" customWidth="1"/>
    <col min="13" max="13" width="13.28515625" bestFit="1" customWidth="1"/>
    <col min="14" max="14" width="23.42578125" bestFit="1" customWidth="1"/>
    <col min="15" max="15" width="24.85546875" bestFit="1" customWidth="1"/>
    <col min="16" max="16" width="55.140625" bestFit="1" customWidth="1"/>
    <col min="17" max="17" width="52.5703125" bestFit="1" customWidth="1"/>
    <col min="18" max="18" width="50.5703125" bestFit="1" customWidth="1"/>
  </cols>
  <sheetData>
    <row r="1" spans="1:19" ht="15.75" thickBot="1" x14ac:dyDescent="0.3"/>
    <row r="2" spans="1:19" ht="16.5" thickTop="1" thickBot="1" x14ac:dyDescent="0.3">
      <c r="N2" s="64" t="s">
        <v>58</v>
      </c>
      <c r="O2" s="65"/>
      <c r="P2" s="66" t="s">
        <v>30</v>
      </c>
      <c r="Q2" s="64" t="s">
        <v>77</v>
      </c>
      <c r="R2" s="67"/>
      <c r="S2" s="7"/>
    </row>
    <row r="3" spans="1:19" ht="15.75" thickTop="1" x14ac:dyDescent="0.25">
      <c r="C3" s="2" t="s">
        <v>0</v>
      </c>
      <c r="D3" s="3" t="s">
        <v>2</v>
      </c>
      <c r="E3" s="3" t="s">
        <v>8</v>
      </c>
      <c r="F3" s="22" t="s">
        <v>3</v>
      </c>
      <c r="G3" s="22" t="s">
        <v>12</v>
      </c>
      <c r="H3" s="23" t="s">
        <v>51</v>
      </c>
      <c r="I3" s="23" t="s">
        <v>4</v>
      </c>
      <c r="J3" s="24" t="s">
        <v>9</v>
      </c>
      <c r="K3" s="24" t="s">
        <v>10</v>
      </c>
      <c r="L3" s="24" t="s">
        <v>52</v>
      </c>
      <c r="M3" s="24" t="s">
        <v>53</v>
      </c>
      <c r="N3" s="56" t="s">
        <v>14</v>
      </c>
      <c r="O3" s="60" t="s">
        <v>15</v>
      </c>
      <c r="P3" s="76" t="s">
        <v>16</v>
      </c>
      <c r="Q3" s="56" t="s">
        <v>17</v>
      </c>
      <c r="R3" s="57" t="s">
        <v>18</v>
      </c>
      <c r="S3" s="7"/>
    </row>
    <row r="4" spans="1:19" ht="15.75" thickBot="1" x14ac:dyDescent="0.3">
      <c r="B4" t="s">
        <v>5</v>
      </c>
      <c r="C4" s="4" t="s">
        <v>6</v>
      </c>
      <c r="D4" s="5" t="s">
        <v>7</v>
      </c>
      <c r="E4" s="5" t="s">
        <v>6</v>
      </c>
      <c r="F4" s="21" t="s">
        <v>7</v>
      </c>
      <c r="G4" s="21" t="s">
        <v>11</v>
      </c>
      <c r="H4" s="6" t="s">
        <v>6</v>
      </c>
      <c r="I4" s="6" t="s">
        <v>6</v>
      </c>
      <c r="J4" s="25" t="s">
        <v>7</v>
      </c>
      <c r="K4" s="25" t="s">
        <v>11</v>
      </c>
      <c r="L4" s="25" t="s">
        <v>7</v>
      </c>
      <c r="M4" s="25" t="s">
        <v>11</v>
      </c>
      <c r="N4" s="58" t="s">
        <v>13</v>
      </c>
      <c r="O4" s="61" t="s">
        <v>1</v>
      </c>
      <c r="P4" s="77" t="s">
        <v>7</v>
      </c>
      <c r="Q4" s="58" t="s">
        <v>7</v>
      </c>
      <c r="R4" s="59" t="s">
        <v>11</v>
      </c>
      <c r="S4" s="7"/>
    </row>
    <row r="5" spans="1:19" s="7" customFormat="1" ht="15.75" thickTop="1" x14ac:dyDescent="0.25">
      <c r="A5"/>
      <c r="B5">
        <v>2024</v>
      </c>
      <c r="C5" s="11">
        <f>'Natual gas'!G5</f>
        <v>0</v>
      </c>
      <c r="D5" s="14">
        <f>'Beet Purchase'!C14</f>
        <v>675000</v>
      </c>
      <c r="E5" s="14">
        <f>'Beet Purchase'!F14</f>
        <v>0</v>
      </c>
      <c r="F5" s="14">
        <f>'Beet Purchase'!D14</f>
        <v>0</v>
      </c>
      <c r="G5" s="14">
        <f>'Beet Purchase'!E14</f>
        <v>0</v>
      </c>
      <c r="H5" s="14">
        <f>Skid!G5</f>
        <v>100000</v>
      </c>
      <c r="I5" s="14">
        <f>Skid!H5</f>
        <v>0</v>
      </c>
      <c r="J5" s="7">
        <f>Facilities!G6</f>
        <v>0</v>
      </c>
      <c r="K5" s="7">
        <f>Facilities!H6</f>
        <v>0</v>
      </c>
      <c r="L5" s="7">
        <f>Facilities!I6</f>
        <v>0</v>
      </c>
      <c r="M5" s="7">
        <f>Facilities!J6</f>
        <v>0</v>
      </c>
      <c r="N5" s="72">
        <f>Shipping!G18</f>
        <v>0</v>
      </c>
      <c r="O5" s="73">
        <f>Shipping!H18</f>
        <v>0</v>
      </c>
      <c r="P5" s="62">
        <f>Shipping!I18</f>
        <v>139334.39999999999</v>
      </c>
      <c r="Q5" s="72">
        <f>Shipping!J18</f>
        <v>0</v>
      </c>
      <c r="R5" s="73">
        <f>Shipping!K18</f>
        <v>0</v>
      </c>
    </row>
    <row r="6" spans="1:19" x14ac:dyDescent="0.25">
      <c r="B6">
        <v>2025</v>
      </c>
      <c r="C6" s="11">
        <f>'Natual gas'!G6</f>
        <v>522448.89600000007</v>
      </c>
      <c r="D6" s="14">
        <f>'Beet Purchase'!C15</f>
        <v>675000</v>
      </c>
      <c r="E6" s="14">
        <f>'Beet Purchase'!F15</f>
        <v>1575000</v>
      </c>
      <c r="F6" s="14">
        <f>'Beet Purchase'!D15</f>
        <v>0</v>
      </c>
      <c r="G6" s="14">
        <f>'Beet Purchase'!E15</f>
        <v>0</v>
      </c>
      <c r="H6" s="14">
        <f>Skid!G6</f>
        <v>400000</v>
      </c>
      <c r="I6" s="14">
        <f>Skid!H6</f>
        <v>30000</v>
      </c>
      <c r="J6" s="7">
        <f>Facilities!G7</f>
        <v>0</v>
      </c>
      <c r="K6" s="7">
        <f>Facilities!H7</f>
        <v>0</v>
      </c>
      <c r="L6" s="7">
        <f>Facilities!I7</f>
        <v>0</v>
      </c>
      <c r="M6" s="7">
        <f>Facilities!J7</f>
        <v>0</v>
      </c>
      <c r="N6" s="68">
        <f>Shipping!G19</f>
        <v>151653.6</v>
      </c>
      <c r="O6" s="69">
        <f>Shipping!H19</f>
        <v>121917.59999999999</v>
      </c>
      <c r="P6" s="62">
        <f>Shipping!I19</f>
        <v>139334.39999999999</v>
      </c>
      <c r="Q6" s="68">
        <f>Shipping!J19</f>
        <v>0</v>
      </c>
      <c r="R6" s="70">
        <f>Shipping!K19</f>
        <v>0</v>
      </c>
    </row>
    <row r="7" spans="1:19" x14ac:dyDescent="0.25">
      <c r="B7">
        <v>2026</v>
      </c>
      <c r="C7" s="11">
        <f>'Natual gas'!G7</f>
        <v>1007186.25</v>
      </c>
      <c r="D7" s="14">
        <f>'Beet Purchase'!C16</f>
        <v>9675000</v>
      </c>
      <c r="E7" s="14">
        <f>'Beet Purchase'!F16</f>
        <v>12825000</v>
      </c>
      <c r="F7" s="14">
        <f>'Beet Purchase'!D16</f>
        <v>0</v>
      </c>
      <c r="G7" s="14">
        <f>'Beet Purchase'!E16</f>
        <v>0</v>
      </c>
      <c r="H7" s="14">
        <f>Skid!G7</f>
        <v>1000000</v>
      </c>
      <c r="I7" s="14">
        <f>Skid!H7</f>
        <v>150000</v>
      </c>
      <c r="J7" s="7">
        <f>Facilities!G8</f>
        <v>2500000</v>
      </c>
      <c r="K7" s="7">
        <f>Facilities!H8</f>
        <v>0</v>
      </c>
      <c r="L7" s="7">
        <f>Facilities!I8</f>
        <v>0</v>
      </c>
      <c r="M7" s="7">
        <f>Facilities!J8</f>
        <v>0</v>
      </c>
      <c r="N7" s="68">
        <f>Shipping!G20</f>
        <v>1234893.6000000001</v>
      </c>
      <c r="O7" s="69">
        <f>Shipping!H20</f>
        <v>992757.6</v>
      </c>
      <c r="P7" s="62">
        <f>Shipping!I20</f>
        <v>1997126.4</v>
      </c>
      <c r="Q7" s="68">
        <f>Shipping!J20</f>
        <v>0</v>
      </c>
      <c r="R7" s="70">
        <f>Shipping!K20</f>
        <v>0</v>
      </c>
    </row>
    <row r="8" spans="1:19" x14ac:dyDescent="0.25">
      <c r="B8" s="7">
        <v>2027</v>
      </c>
      <c r="C8" s="78">
        <f>'Natual gas'!G8</f>
        <v>1525593.9569999999</v>
      </c>
      <c r="D8" s="14">
        <f>'Beet Purchase'!C17</f>
        <v>2250000</v>
      </c>
      <c r="E8" s="14">
        <f>'Beet Purchase'!F17</f>
        <v>17437500</v>
      </c>
      <c r="F8" s="14">
        <f>'Beet Purchase'!D17</f>
        <v>6125000</v>
      </c>
      <c r="G8" s="14">
        <f>'Beet Purchase'!E17</f>
        <v>9187500</v>
      </c>
      <c r="H8" s="14">
        <f>Skid!G8</f>
        <v>1000000</v>
      </c>
      <c r="I8" s="14">
        <f>Skid!H8</f>
        <v>450000</v>
      </c>
      <c r="J8" s="7">
        <f>Facilities!G9</f>
        <v>2500000</v>
      </c>
      <c r="K8" s="7">
        <f>Facilities!H9</f>
        <v>7500000</v>
      </c>
      <c r="L8" s="7">
        <f>Facilities!I9</f>
        <v>2625000</v>
      </c>
      <c r="M8" s="7">
        <f>Facilities!J9</f>
        <v>3937500</v>
      </c>
      <c r="N8" s="68">
        <f>Shipping!G21</f>
        <v>1679022</v>
      </c>
      <c r="O8" s="69">
        <f>Shipping!H21</f>
        <v>1349802</v>
      </c>
      <c r="P8" s="62">
        <f>Shipping!I21</f>
        <v>464448</v>
      </c>
      <c r="Q8" s="68">
        <f>Shipping!J21</f>
        <v>1625568</v>
      </c>
      <c r="R8" s="69">
        <f>Shipping!K21</f>
        <v>3124138.5</v>
      </c>
    </row>
    <row r="9" spans="1:19" x14ac:dyDescent="0.25">
      <c r="B9">
        <v>2028</v>
      </c>
      <c r="C9" s="11">
        <f>'Natual gas'!G9</f>
        <v>2538252.4560000002</v>
      </c>
      <c r="D9" s="14">
        <f>'Beet Purchase'!C18</f>
        <v>2250000</v>
      </c>
      <c r="E9" s="14">
        <f>'Beet Purchase'!F18</f>
        <v>9000000</v>
      </c>
      <c r="F9" s="14">
        <f>'Beet Purchase'!D18</f>
        <v>6562500</v>
      </c>
      <c r="G9" s="14">
        <f>'Beet Purchase'!E18</f>
        <v>19687500</v>
      </c>
      <c r="H9" s="14">
        <f>Skid!G9</f>
        <v>500000</v>
      </c>
      <c r="I9" s="14">
        <f>Skid!H9</f>
        <v>750000</v>
      </c>
      <c r="J9" s="7">
        <f>Facilities!G10</f>
        <v>0</v>
      </c>
      <c r="K9" s="7">
        <f>Facilities!H10</f>
        <v>7500000</v>
      </c>
      <c r="L9" s="7">
        <f>Facilities!I10</f>
        <v>2812500</v>
      </c>
      <c r="M9" s="7">
        <f>Facilities!J10</f>
        <v>8437500</v>
      </c>
      <c r="N9" s="68">
        <f>Shipping!G22</f>
        <v>866592</v>
      </c>
      <c r="O9" s="69">
        <f>Shipping!H22</f>
        <v>696672</v>
      </c>
      <c r="P9" s="62">
        <f>Shipping!I22</f>
        <v>464448</v>
      </c>
      <c r="Q9" s="68">
        <f>Shipping!J22</f>
        <v>1741680</v>
      </c>
      <c r="R9" s="70">
        <f>Shipping!K22</f>
        <v>6694582.5</v>
      </c>
    </row>
    <row r="10" spans="1:19" x14ac:dyDescent="0.25">
      <c r="B10">
        <v>2029</v>
      </c>
      <c r="C10" s="11">
        <f>'Natual gas'!G10</f>
        <v>3881495.148</v>
      </c>
      <c r="D10" s="14">
        <f>'Beet Purchase'!C19</f>
        <v>2250000</v>
      </c>
      <c r="E10" s="14">
        <f>'Beet Purchase'!F19</f>
        <v>6750000</v>
      </c>
      <c r="F10" s="14">
        <f>'Beet Purchase'!D19</f>
        <v>8750000</v>
      </c>
      <c r="G10" s="14">
        <f>'Beet Purchase'!E19</f>
        <v>26250000</v>
      </c>
      <c r="H10" s="14">
        <f>Skid!G10</f>
        <v>0</v>
      </c>
      <c r="I10" s="14">
        <f>Skid!H10</f>
        <v>900000</v>
      </c>
      <c r="J10" s="7">
        <f>Facilities!G11</f>
        <v>0</v>
      </c>
      <c r="K10" s="7">
        <f>Facilities!H11</f>
        <v>0</v>
      </c>
      <c r="L10" s="7">
        <f>Facilities!I11</f>
        <v>3750000</v>
      </c>
      <c r="M10" s="7">
        <f>Facilities!J11</f>
        <v>11250000</v>
      </c>
      <c r="N10" s="68">
        <f>Shipping!G23</f>
        <v>649944</v>
      </c>
      <c r="O10" s="69">
        <f>Shipping!H23</f>
        <v>522503.99999999994</v>
      </c>
      <c r="P10" s="62">
        <f>Shipping!I23</f>
        <v>464448</v>
      </c>
      <c r="Q10" s="68">
        <f>Shipping!J23</f>
        <v>2322240</v>
      </c>
      <c r="R10" s="70">
        <f>Shipping!K23</f>
        <v>8926110</v>
      </c>
    </row>
    <row r="11" spans="1:19" ht="15.75" thickBot="1" x14ac:dyDescent="0.3">
      <c r="B11">
        <v>2030</v>
      </c>
      <c r="C11" s="11">
        <f>'Natual gas'!G11</f>
        <v>3881495.148</v>
      </c>
      <c r="D11" s="14">
        <f>'Beet Purchase'!C20</f>
        <v>2250000</v>
      </c>
      <c r="E11" s="14">
        <f>'Beet Purchase'!F20</f>
        <v>6750000</v>
      </c>
      <c r="F11" s="14">
        <f>'Beet Purchase'!D20</f>
        <v>8750000</v>
      </c>
      <c r="G11" s="14">
        <f>'Beet Purchase'!E20</f>
        <v>26250000</v>
      </c>
      <c r="H11" s="14">
        <f>Skid!G11</f>
        <v>0</v>
      </c>
      <c r="I11" s="14">
        <f>Skid!H11</f>
        <v>900000</v>
      </c>
      <c r="J11" s="7">
        <f>Facilities!G12</f>
        <v>0</v>
      </c>
      <c r="K11" s="7">
        <f>Facilities!H12</f>
        <v>0</v>
      </c>
      <c r="L11" s="7">
        <f>Facilities!I12</f>
        <v>3750000</v>
      </c>
      <c r="M11" s="7">
        <f>Facilities!J12</f>
        <v>11250000</v>
      </c>
      <c r="N11" s="74">
        <f>Shipping!G24</f>
        <v>649944</v>
      </c>
      <c r="O11" s="75">
        <f>Shipping!H24</f>
        <v>522503.99999999994</v>
      </c>
      <c r="P11" s="63">
        <f>Shipping!I24</f>
        <v>464448</v>
      </c>
      <c r="Q11" s="74">
        <f>Shipping!J24</f>
        <v>2322240</v>
      </c>
      <c r="R11" s="71">
        <f>Shipping!K24</f>
        <v>8926110</v>
      </c>
    </row>
    <row r="12" spans="1:19" ht="15.75" thickTop="1" x14ac:dyDescent="0.25"/>
  </sheetData>
  <mergeCells count="2">
    <mergeCell ref="N2:O2"/>
    <mergeCell ref="Q2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7BD06-6789-49C0-A50A-B32A4681AB49}">
  <sheetPr>
    <tabColor theme="9" tint="0.79998168889431442"/>
  </sheetPr>
  <dimension ref="A1:H11"/>
  <sheetViews>
    <sheetView workbookViewId="0">
      <selection activeCell="F30" sqref="F30"/>
    </sheetView>
  </sheetViews>
  <sheetFormatPr defaultRowHeight="15" x14ac:dyDescent="0.25"/>
  <cols>
    <col min="3" max="3" width="19.5703125" bestFit="1" customWidth="1"/>
    <col min="4" max="4" width="10" bestFit="1" customWidth="1"/>
    <col min="5" max="6" width="12" bestFit="1" customWidth="1"/>
    <col min="7" max="7" width="14.28515625" bestFit="1" customWidth="1"/>
  </cols>
  <sheetData>
    <row r="1" spans="1:8" x14ac:dyDescent="0.25">
      <c r="A1" t="s">
        <v>19</v>
      </c>
      <c r="B1">
        <v>3</v>
      </c>
      <c r="C1" t="s">
        <v>28</v>
      </c>
      <c r="D1" s="8" t="s">
        <v>23</v>
      </c>
      <c r="E1" s="8"/>
      <c r="F1" s="8"/>
      <c r="G1" s="8"/>
    </row>
    <row r="2" spans="1:8" x14ac:dyDescent="0.25">
      <c r="C2" t="s">
        <v>26</v>
      </c>
      <c r="D2" s="8" t="s">
        <v>27</v>
      </c>
      <c r="E2" s="10"/>
      <c r="F2" s="10"/>
      <c r="G2" s="10"/>
    </row>
    <row r="3" spans="1:8" x14ac:dyDescent="0.25">
      <c r="C3" s="2" t="s">
        <v>0</v>
      </c>
    </row>
    <row r="4" spans="1:8" x14ac:dyDescent="0.25">
      <c r="B4" t="s">
        <v>5</v>
      </c>
      <c r="C4" s="4" t="s">
        <v>24</v>
      </c>
      <c r="D4" t="s">
        <v>20</v>
      </c>
      <c r="E4" t="s">
        <v>21</v>
      </c>
      <c r="F4" t="s">
        <v>22</v>
      </c>
      <c r="G4" t="s">
        <v>25</v>
      </c>
    </row>
    <row r="5" spans="1:8" x14ac:dyDescent="0.25">
      <c r="B5">
        <v>2024</v>
      </c>
      <c r="C5" s="4">
        <v>0</v>
      </c>
      <c r="D5">
        <f>C5*1000</f>
        <v>0</v>
      </c>
      <c r="E5">
        <f>D5*1037</f>
        <v>0</v>
      </c>
      <c r="F5">
        <f>E5/10^6</f>
        <v>0</v>
      </c>
      <c r="G5" s="9">
        <f>F5*$B$1</f>
        <v>0</v>
      </c>
      <c r="H5" s="11"/>
    </row>
    <row r="6" spans="1:8" x14ac:dyDescent="0.25">
      <c r="B6">
        <v>2025</v>
      </c>
      <c r="C6">
        <f>(143500+24436)</f>
        <v>167936</v>
      </c>
      <c r="D6">
        <f>C6*1000</f>
        <v>167936000</v>
      </c>
      <c r="E6">
        <f>D6*1037</f>
        <v>174149632000</v>
      </c>
      <c r="F6">
        <f>E6/10^6</f>
        <v>174149.63200000001</v>
      </c>
      <c r="G6" s="9">
        <f>F6*$B$1</f>
        <v>522448.89600000007</v>
      </c>
      <c r="H6" s="11"/>
    </row>
    <row r="7" spans="1:8" x14ac:dyDescent="0.25">
      <c r="B7">
        <v>2026</v>
      </c>
      <c r="C7">
        <f>(124650+199100)</f>
        <v>323750</v>
      </c>
      <c r="D7">
        <f t="shared" ref="D7:D11" si="0">C7*1000</f>
        <v>323750000</v>
      </c>
      <c r="E7">
        <f t="shared" ref="E7:E11" si="1">D7*1037</f>
        <v>335728750000</v>
      </c>
      <c r="F7">
        <f t="shared" ref="F7:F11" si="2">E7/10^6</f>
        <v>335728.75</v>
      </c>
      <c r="G7" s="9">
        <f t="shared" ref="G7:G11" si="3">F7*$B$1</f>
        <v>1007186.25</v>
      </c>
      <c r="H7" s="11"/>
    </row>
    <row r="8" spans="1:8" x14ac:dyDescent="0.25">
      <c r="B8">
        <v>2027</v>
      </c>
      <c r="C8">
        <f>(108277+382110)</f>
        <v>490387</v>
      </c>
      <c r="D8">
        <f t="shared" si="0"/>
        <v>490387000</v>
      </c>
      <c r="E8">
        <f t="shared" si="1"/>
        <v>508531319000</v>
      </c>
      <c r="F8">
        <f t="shared" si="2"/>
        <v>508531.31900000002</v>
      </c>
      <c r="G8" s="9">
        <f t="shared" si="3"/>
        <v>1525593.9569999999</v>
      </c>
      <c r="H8" s="11"/>
    </row>
    <row r="9" spans="1:8" x14ac:dyDescent="0.25">
      <c r="B9">
        <v>2028</v>
      </c>
      <c r="C9">
        <f>(94325+721571)</f>
        <v>815896</v>
      </c>
      <c r="D9">
        <f t="shared" si="0"/>
        <v>815896000</v>
      </c>
      <c r="E9">
        <f t="shared" si="1"/>
        <v>846084152000</v>
      </c>
      <c r="F9">
        <f t="shared" si="2"/>
        <v>846084.152</v>
      </c>
      <c r="G9" s="9">
        <f t="shared" si="3"/>
        <v>2538252.4560000002</v>
      </c>
      <c r="H9" s="11"/>
    </row>
    <row r="10" spans="1:8" x14ac:dyDescent="0.25">
      <c r="B10">
        <v>2029</v>
      </c>
      <c r="C10">
        <f>(87253+1160415)</f>
        <v>1247668</v>
      </c>
      <c r="D10">
        <f t="shared" si="0"/>
        <v>1247668000</v>
      </c>
      <c r="E10">
        <f t="shared" si="1"/>
        <v>1293831716000</v>
      </c>
      <c r="F10">
        <f t="shared" si="2"/>
        <v>1293831.716</v>
      </c>
      <c r="G10" s="9">
        <f t="shared" si="3"/>
        <v>3881495.148</v>
      </c>
      <c r="H10" s="11"/>
    </row>
    <row r="11" spans="1:8" x14ac:dyDescent="0.25">
      <c r="B11">
        <v>2030</v>
      </c>
      <c r="C11">
        <f>C10</f>
        <v>1247668</v>
      </c>
      <c r="D11">
        <f t="shared" si="0"/>
        <v>1247668000</v>
      </c>
      <c r="E11">
        <f t="shared" si="1"/>
        <v>1293831716000</v>
      </c>
      <c r="F11">
        <f t="shared" si="2"/>
        <v>1293831.716</v>
      </c>
      <c r="G11" s="9">
        <f t="shared" si="3"/>
        <v>3881495.148</v>
      </c>
      <c r="H11" s="11"/>
    </row>
  </sheetData>
  <mergeCells count="2">
    <mergeCell ref="D2:G2"/>
    <mergeCell ref="D1:G1"/>
  </mergeCells>
  <hyperlinks>
    <hyperlink ref="D1" r:id="rId1" xr:uid="{3227E59C-2616-49B6-97E0-76C9CA5AF343}"/>
    <hyperlink ref="D2" r:id="rId2" xr:uid="{C1A30EF5-40BB-4FEF-A105-7657E8435F5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FF790-5F3B-480B-80FA-08E21B0EBFEE}">
  <sheetPr>
    <tabColor theme="2" tint="-9.9978637043366805E-2"/>
  </sheetPr>
  <dimension ref="A1:I20"/>
  <sheetViews>
    <sheetView workbookViewId="0">
      <selection activeCell="G17" sqref="G17"/>
    </sheetView>
  </sheetViews>
  <sheetFormatPr defaultRowHeight="15" x14ac:dyDescent="0.25"/>
  <cols>
    <col min="1" max="1" width="25.7109375" bestFit="1" customWidth="1"/>
    <col min="3" max="3" width="22.42578125" bestFit="1" customWidth="1"/>
    <col min="4" max="4" width="26.140625" bestFit="1" customWidth="1"/>
    <col min="5" max="5" width="20.85546875" bestFit="1" customWidth="1"/>
    <col min="6" max="6" width="32" bestFit="1" customWidth="1"/>
    <col min="7" max="7" width="20.140625" bestFit="1" customWidth="1"/>
    <col min="8" max="8" width="18.140625" bestFit="1" customWidth="1"/>
    <col min="9" max="9" width="20" bestFit="1" customWidth="1"/>
  </cols>
  <sheetData>
    <row r="1" spans="1:9" x14ac:dyDescent="0.25">
      <c r="A1" t="s">
        <v>37</v>
      </c>
      <c r="B1">
        <v>225</v>
      </c>
    </row>
    <row r="2" spans="1:9" x14ac:dyDescent="0.25">
      <c r="A2" t="s">
        <v>38</v>
      </c>
      <c r="B2">
        <v>175</v>
      </c>
    </row>
    <row r="3" spans="1:9" x14ac:dyDescent="0.25">
      <c r="C3" t="s">
        <v>29</v>
      </c>
      <c r="D3" t="s">
        <v>39</v>
      </c>
      <c r="E3" t="s">
        <v>31</v>
      </c>
      <c r="F3" t="s">
        <v>34</v>
      </c>
      <c r="G3" t="s">
        <v>32</v>
      </c>
      <c r="H3" t="s">
        <v>33</v>
      </c>
      <c r="I3" t="s">
        <v>36</v>
      </c>
    </row>
    <row r="4" spans="1:9" x14ac:dyDescent="0.25">
      <c r="B4">
        <v>2024</v>
      </c>
      <c r="C4" s="13">
        <v>3000</v>
      </c>
      <c r="D4" s="13">
        <v>3000</v>
      </c>
      <c r="E4">
        <v>0</v>
      </c>
      <c r="F4">
        <v>0</v>
      </c>
      <c r="G4">
        <f>F4*E4</f>
        <v>0</v>
      </c>
      <c r="H4">
        <f>E4*(1-F4)</f>
        <v>0</v>
      </c>
      <c r="I4" s="12">
        <f>C4-D4-E4</f>
        <v>0</v>
      </c>
    </row>
    <row r="5" spans="1:9" x14ac:dyDescent="0.25">
      <c r="B5">
        <v>2025</v>
      </c>
      <c r="C5" s="13">
        <v>10000</v>
      </c>
      <c r="D5" s="13">
        <v>3000</v>
      </c>
      <c r="E5">
        <v>0</v>
      </c>
      <c r="F5">
        <v>0</v>
      </c>
      <c r="G5">
        <f t="shared" ref="G5:G10" si="0">F5*E5</f>
        <v>0</v>
      </c>
      <c r="H5">
        <f t="shared" ref="H5:H10" si="1">E5*(1-F5)</f>
        <v>0</v>
      </c>
      <c r="I5" s="12">
        <f t="shared" ref="I5:I10" si="2">C5-D5-E5</f>
        <v>7000</v>
      </c>
    </row>
    <row r="6" spans="1:9" x14ac:dyDescent="0.25">
      <c r="B6">
        <v>2026</v>
      </c>
      <c r="C6" s="13">
        <v>100000</v>
      </c>
      <c r="D6">
        <v>43000</v>
      </c>
      <c r="E6">
        <v>0</v>
      </c>
      <c r="F6">
        <v>0</v>
      </c>
      <c r="G6">
        <f t="shared" si="0"/>
        <v>0</v>
      </c>
      <c r="H6">
        <f t="shared" si="1"/>
        <v>0</v>
      </c>
      <c r="I6" s="12">
        <f t="shared" si="2"/>
        <v>57000</v>
      </c>
    </row>
    <row r="7" spans="1:9" x14ac:dyDescent="0.25">
      <c r="B7">
        <v>2027</v>
      </c>
      <c r="C7" s="13">
        <v>175000</v>
      </c>
      <c r="D7">
        <v>10000</v>
      </c>
      <c r="E7">
        <v>87500</v>
      </c>
      <c r="F7">
        <f>5/(5+7.5)</f>
        <v>0.4</v>
      </c>
      <c r="G7">
        <f t="shared" si="0"/>
        <v>35000</v>
      </c>
      <c r="H7">
        <f t="shared" si="1"/>
        <v>52500</v>
      </c>
      <c r="I7" s="12">
        <f t="shared" si="2"/>
        <v>77500</v>
      </c>
    </row>
    <row r="8" spans="1:9" x14ac:dyDescent="0.25">
      <c r="B8">
        <v>2028</v>
      </c>
      <c r="C8" s="13">
        <v>200000</v>
      </c>
      <c r="D8">
        <v>10000</v>
      </c>
      <c r="E8">
        <v>150000</v>
      </c>
      <c r="F8" s="15">
        <f>5/20</f>
        <v>0.25</v>
      </c>
      <c r="G8">
        <f t="shared" si="0"/>
        <v>37500</v>
      </c>
      <c r="H8">
        <f t="shared" si="1"/>
        <v>112500</v>
      </c>
      <c r="I8" s="12">
        <f t="shared" si="2"/>
        <v>40000</v>
      </c>
    </row>
    <row r="9" spans="1:9" x14ac:dyDescent="0.25">
      <c r="B9">
        <v>2029</v>
      </c>
      <c r="C9" s="13">
        <v>240000</v>
      </c>
      <c r="D9">
        <v>10000</v>
      </c>
      <c r="E9">
        <v>200000</v>
      </c>
      <c r="F9" s="15">
        <f t="shared" ref="F9:F10" si="3">5/20</f>
        <v>0.25</v>
      </c>
      <c r="G9">
        <f t="shared" si="0"/>
        <v>50000</v>
      </c>
      <c r="H9">
        <f t="shared" si="1"/>
        <v>150000</v>
      </c>
      <c r="I9" s="12">
        <f t="shared" si="2"/>
        <v>30000</v>
      </c>
    </row>
    <row r="10" spans="1:9" x14ac:dyDescent="0.25">
      <c r="B10">
        <v>2030</v>
      </c>
      <c r="C10" s="13">
        <v>240000</v>
      </c>
      <c r="D10">
        <v>10000</v>
      </c>
      <c r="E10">
        <v>200000</v>
      </c>
      <c r="F10" s="15">
        <f t="shared" si="3"/>
        <v>0.25</v>
      </c>
      <c r="G10">
        <f t="shared" si="0"/>
        <v>50000</v>
      </c>
      <c r="H10">
        <f t="shared" si="1"/>
        <v>150000</v>
      </c>
      <c r="I10" s="12">
        <f t="shared" si="2"/>
        <v>30000</v>
      </c>
    </row>
    <row r="12" spans="1:9" x14ac:dyDescent="0.25">
      <c r="C12" s="17" t="s">
        <v>43</v>
      </c>
      <c r="D12" s="17"/>
      <c r="E12" s="17"/>
      <c r="F12" s="17"/>
    </row>
    <row r="13" spans="1:9" x14ac:dyDescent="0.25">
      <c r="B13" s="18" t="s">
        <v>35</v>
      </c>
      <c r="C13" s="18" t="s">
        <v>40</v>
      </c>
      <c r="D13" s="18" t="s">
        <v>41</v>
      </c>
      <c r="E13" s="18" t="s">
        <v>42</v>
      </c>
      <c r="F13" s="18" t="s">
        <v>36</v>
      </c>
    </row>
    <row r="14" spans="1:9" x14ac:dyDescent="0.25">
      <c r="B14">
        <v>2024</v>
      </c>
      <c r="C14" s="16">
        <f>D4*$B$1</f>
        <v>675000</v>
      </c>
      <c r="D14" s="16">
        <f>G4*$B$2</f>
        <v>0</v>
      </c>
      <c r="E14" s="16">
        <f>H4*$B$2</f>
        <v>0</v>
      </c>
      <c r="F14" s="16">
        <f>I4*$B$1</f>
        <v>0</v>
      </c>
    </row>
    <row r="15" spans="1:9" x14ac:dyDescent="0.25">
      <c r="B15">
        <v>2025</v>
      </c>
      <c r="C15" s="16">
        <f t="shared" ref="C15:C20" si="4">D5*$B$1</f>
        <v>675000</v>
      </c>
      <c r="D15" s="16">
        <f t="shared" ref="D15:D20" si="5">G5*$B$2</f>
        <v>0</v>
      </c>
      <c r="E15" s="16">
        <f t="shared" ref="E15:E20" si="6">H5*$B$2</f>
        <v>0</v>
      </c>
      <c r="F15" s="16">
        <f t="shared" ref="F15:F20" si="7">I5*$B$1</f>
        <v>1575000</v>
      </c>
    </row>
    <row r="16" spans="1:9" x14ac:dyDescent="0.25">
      <c r="B16">
        <v>2026</v>
      </c>
      <c r="C16" s="16">
        <f t="shared" si="4"/>
        <v>9675000</v>
      </c>
      <c r="D16" s="16">
        <f t="shared" si="5"/>
        <v>0</v>
      </c>
      <c r="E16" s="16">
        <f t="shared" si="6"/>
        <v>0</v>
      </c>
      <c r="F16" s="16">
        <f t="shared" si="7"/>
        <v>12825000</v>
      </c>
    </row>
    <row r="17" spans="2:6" x14ac:dyDescent="0.25">
      <c r="B17">
        <v>2027</v>
      </c>
      <c r="C17" s="16">
        <f t="shared" si="4"/>
        <v>2250000</v>
      </c>
      <c r="D17" s="16">
        <f t="shared" si="5"/>
        <v>6125000</v>
      </c>
      <c r="E17" s="16">
        <f t="shared" si="6"/>
        <v>9187500</v>
      </c>
      <c r="F17" s="16">
        <f t="shared" si="7"/>
        <v>17437500</v>
      </c>
    </row>
    <row r="18" spans="2:6" x14ac:dyDescent="0.25">
      <c r="B18">
        <v>2028</v>
      </c>
      <c r="C18" s="16">
        <f t="shared" si="4"/>
        <v>2250000</v>
      </c>
      <c r="D18" s="16">
        <f t="shared" si="5"/>
        <v>6562500</v>
      </c>
      <c r="E18" s="16">
        <f t="shared" si="6"/>
        <v>19687500</v>
      </c>
      <c r="F18" s="16">
        <f t="shared" si="7"/>
        <v>9000000</v>
      </c>
    </row>
    <row r="19" spans="2:6" x14ac:dyDescent="0.25">
      <c r="B19">
        <v>2029</v>
      </c>
      <c r="C19" s="16">
        <f t="shared" si="4"/>
        <v>2250000</v>
      </c>
      <c r="D19" s="16">
        <f t="shared" si="5"/>
        <v>8750000</v>
      </c>
      <c r="E19" s="16">
        <f t="shared" si="6"/>
        <v>26250000</v>
      </c>
      <c r="F19" s="16">
        <f t="shared" si="7"/>
        <v>6750000</v>
      </c>
    </row>
    <row r="20" spans="2:6" x14ac:dyDescent="0.25">
      <c r="B20">
        <v>2030</v>
      </c>
      <c r="C20" s="16">
        <f t="shared" si="4"/>
        <v>2250000</v>
      </c>
      <c r="D20" s="16">
        <f t="shared" si="5"/>
        <v>8750000</v>
      </c>
      <c r="E20" s="16">
        <f t="shared" si="6"/>
        <v>26250000</v>
      </c>
      <c r="F20" s="16">
        <f t="shared" si="7"/>
        <v>6750000</v>
      </c>
    </row>
  </sheetData>
  <mergeCells count="1">
    <mergeCell ref="C12:F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9B6F1-609F-43C5-AE5E-7B583EB2DD86}">
  <sheetPr>
    <tabColor theme="5" tint="0.79998168889431442"/>
  </sheetPr>
  <dimension ref="A1:H11"/>
  <sheetViews>
    <sheetView workbookViewId="0">
      <selection activeCell="D30" sqref="D30"/>
    </sheetView>
  </sheetViews>
  <sheetFormatPr defaultRowHeight="15" x14ac:dyDescent="0.25"/>
  <cols>
    <col min="1" max="1" width="16.7109375" bestFit="1" customWidth="1"/>
    <col min="4" max="4" width="18.140625" bestFit="1" customWidth="1"/>
    <col min="5" max="5" width="22" bestFit="1" customWidth="1"/>
    <col min="6" max="6" width="21.85546875" bestFit="1" customWidth="1"/>
    <col min="7" max="7" width="28.5703125" bestFit="1" customWidth="1"/>
    <col min="8" max="8" width="15.140625" bestFit="1" customWidth="1"/>
  </cols>
  <sheetData>
    <row r="1" spans="1:8" x14ac:dyDescent="0.25">
      <c r="A1" t="s">
        <v>47</v>
      </c>
      <c r="B1">
        <v>300000</v>
      </c>
    </row>
    <row r="2" spans="1:8" x14ac:dyDescent="0.25">
      <c r="A2" t="s">
        <v>48</v>
      </c>
      <c r="B2">
        <f>B1*0.1</f>
        <v>30000</v>
      </c>
    </row>
    <row r="4" spans="1:8" ht="45" x14ac:dyDescent="0.25">
      <c r="C4" s="19" t="s">
        <v>35</v>
      </c>
      <c r="D4" s="19" t="s">
        <v>44</v>
      </c>
      <c r="E4" s="19" t="s">
        <v>45</v>
      </c>
      <c r="F4" s="19" t="s">
        <v>46</v>
      </c>
      <c r="G4" s="20" t="s">
        <v>49</v>
      </c>
      <c r="H4" s="19" t="s">
        <v>50</v>
      </c>
    </row>
    <row r="5" spans="1:8" x14ac:dyDescent="0.25">
      <c r="C5">
        <v>2024</v>
      </c>
      <c r="D5">
        <v>1</v>
      </c>
      <c r="E5">
        <v>0</v>
      </c>
      <c r="F5">
        <f>D5*$B$1</f>
        <v>300000</v>
      </c>
      <c r="G5" s="1">
        <f>F5/3</f>
        <v>100000</v>
      </c>
      <c r="H5" s="1">
        <f>E5*$B$2</f>
        <v>0</v>
      </c>
    </row>
    <row r="6" spans="1:8" x14ac:dyDescent="0.25">
      <c r="C6">
        <v>2025</v>
      </c>
      <c r="D6">
        <v>4</v>
      </c>
      <c r="E6">
        <f>E5+D5</f>
        <v>1</v>
      </c>
      <c r="F6">
        <f t="shared" ref="F6:F11" si="0">D6*$B$1</f>
        <v>1200000</v>
      </c>
      <c r="G6" s="1">
        <f t="shared" ref="G6:G11" si="1">F6/3</f>
        <v>400000</v>
      </c>
      <c r="H6" s="1">
        <f t="shared" ref="H6:H11" si="2">E6*$B$2</f>
        <v>30000</v>
      </c>
    </row>
    <row r="7" spans="1:8" x14ac:dyDescent="0.25">
      <c r="C7">
        <v>2026</v>
      </c>
      <c r="D7">
        <v>10</v>
      </c>
      <c r="E7">
        <f t="shared" ref="E7:E11" si="3">E6+D6</f>
        <v>5</v>
      </c>
      <c r="F7">
        <f t="shared" si="0"/>
        <v>3000000</v>
      </c>
      <c r="G7" s="1">
        <f t="shared" si="1"/>
        <v>1000000</v>
      </c>
      <c r="H7" s="1">
        <f t="shared" si="2"/>
        <v>150000</v>
      </c>
    </row>
    <row r="8" spans="1:8" x14ac:dyDescent="0.25">
      <c r="C8">
        <v>2027</v>
      </c>
      <c r="D8">
        <v>10</v>
      </c>
      <c r="E8">
        <f t="shared" si="3"/>
        <v>15</v>
      </c>
      <c r="F8">
        <f t="shared" si="0"/>
        <v>3000000</v>
      </c>
      <c r="G8" s="1">
        <f t="shared" si="1"/>
        <v>1000000</v>
      </c>
      <c r="H8" s="1">
        <f t="shared" si="2"/>
        <v>450000</v>
      </c>
    </row>
    <row r="9" spans="1:8" x14ac:dyDescent="0.25">
      <c r="C9">
        <v>2028</v>
      </c>
      <c r="D9">
        <v>5</v>
      </c>
      <c r="E9">
        <f t="shared" si="3"/>
        <v>25</v>
      </c>
      <c r="F9">
        <f t="shared" si="0"/>
        <v>1500000</v>
      </c>
      <c r="G9" s="1">
        <f t="shared" si="1"/>
        <v>500000</v>
      </c>
      <c r="H9" s="1">
        <f t="shared" si="2"/>
        <v>750000</v>
      </c>
    </row>
    <row r="10" spans="1:8" x14ac:dyDescent="0.25">
      <c r="C10">
        <v>2029</v>
      </c>
      <c r="D10">
        <v>0</v>
      </c>
      <c r="E10">
        <f t="shared" si="3"/>
        <v>30</v>
      </c>
      <c r="F10">
        <f t="shared" si="0"/>
        <v>0</v>
      </c>
      <c r="G10" s="1">
        <f t="shared" si="1"/>
        <v>0</v>
      </c>
      <c r="H10" s="1">
        <f t="shared" si="2"/>
        <v>900000</v>
      </c>
    </row>
    <row r="11" spans="1:8" x14ac:dyDescent="0.25">
      <c r="C11">
        <v>2030</v>
      </c>
      <c r="D11">
        <v>0</v>
      </c>
      <c r="E11">
        <f t="shared" si="3"/>
        <v>30</v>
      </c>
      <c r="F11">
        <f t="shared" si="0"/>
        <v>0</v>
      </c>
      <c r="G11" s="1">
        <f t="shared" si="1"/>
        <v>0</v>
      </c>
      <c r="H11" s="1">
        <f t="shared" si="2"/>
        <v>900000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6BA9C-49D4-4037-88FC-3448593847D3}">
  <sheetPr>
    <tabColor theme="8" tint="0.79998168889431442"/>
  </sheetPr>
  <dimension ref="A1:J12"/>
  <sheetViews>
    <sheetView workbookViewId="0">
      <selection activeCell="F25" sqref="F25"/>
    </sheetView>
  </sheetViews>
  <sheetFormatPr defaultRowHeight="15" x14ac:dyDescent="0.25"/>
  <cols>
    <col min="2" max="2" width="8.85546875" customWidth="1"/>
    <col min="3" max="3" width="10.7109375" bestFit="1" customWidth="1"/>
    <col min="4" max="4" width="9.7109375" bestFit="1" customWidth="1"/>
    <col min="7" max="7" width="9.7109375" bestFit="1" customWidth="1"/>
    <col min="8" max="8" width="8" bestFit="1" customWidth="1"/>
    <col min="9" max="9" width="9.7109375" bestFit="1" customWidth="1"/>
    <col min="10" max="10" width="9" bestFit="1" customWidth="1"/>
  </cols>
  <sheetData>
    <row r="1" spans="1:10" x14ac:dyDescent="0.25">
      <c r="A1" t="s">
        <v>56</v>
      </c>
      <c r="B1">
        <v>75</v>
      </c>
      <c r="C1" t="s">
        <v>57</v>
      </c>
    </row>
    <row r="4" spans="1:10" x14ac:dyDescent="0.25">
      <c r="F4" s="10" t="s">
        <v>35</v>
      </c>
      <c r="G4" s="17" t="s">
        <v>54</v>
      </c>
      <c r="H4" s="17"/>
      <c r="I4" s="17" t="s">
        <v>55</v>
      </c>
      <c r="J4" s="17"/>
    </row>
    <row r="5" spans="1:10" x14ac:dyDescent="0.25">
      <c r="F5" s="10"/>
      <c r="G5" s="26" t="s">
        <v>7</v>
      </c>
      <c r="H5" s="26" t="s">
        <v>11</v>
      </c>
      <c r="I5" s="26" t="s">
        <v>7</v>
      </c>
      <c r="J5" s="26" t="s">
        <v>11</v>
      </c>
    </row>
    <row r="6" spans="1:10" x14ac:dyDescent="0.25">
      <c r="F6">
        <v>2024</v>
      </c>
      <c r="G6">
        <v>0</v>
      </c>
      <c r="H6">
        <v>0</v>
      </c>
      <c r="I6">
        <f>$B$1*'Beet Purchase'!G4-'Beet Purchase'!D14</f>
        <v>0</v>
      </c>
      <c r="J6">
        <f>$B$1*'Beet Purchase'!H4</f>
        <v>0</v>
      </c>
    </row>
    <row r="7" spans="1:10" x14ac:dyDescent="0.25">
      <c r="F7">
        <v>2025</v>
      </c>
      <c r="G7">
        <v>0</v>
      </c>
      <c r="H7">
        <v>0</v>
      </c>
      <c r="I7">
        <f>$B$1*'Beet Purchase'!G5</f>
        <v>0</v>
      </c>
      <c r="J7">
        <f>$B$1*'Beet Purchase'!H5</f>
        <v>0</v>
      </c>
    </row>
    <row r="8" spans="1:10" x14ac:dyDescent="0.25">
      <c r="F8">
        <v>2026</v>
      </c>
      <c r="G8">
        <f>2.5*10^6</f>
        <v>2500000</v>
      </c>
      <c r="H8">
        <v>0</v>
      </c>
      <c r="I8">
        <f>$B$1*'Beet Purchase'!G6</f>
        <v>0</v>
      </c>
      <c r="J8">
        <f>$B$1*'Beet Purchase'!H6</f>
        <v>0</v>
      </c>
    </row>
    <row r="9" spans="1:10" x14ac:dyDescent="0.25">
      <c r="F9">
        <v>2027</v>
      </c>
      <c r="G9">
        <f>2.5*10^6</f>
        <v>2500000</v>
      </c>
      <c r="H9">
        <f>7.5*10^6</f>
        <v>7500000</v>
      </c>
      <c r="I9">
        <f>$B$1*'Beet Purchase'!G7</f>
        <v>2625000</v>
      </c>
      <c r="J9">
        <f>$B$1*'Beet Purchase'!H7</f>
        <v>3937500</v>
      </c>
    </row>
    <row r="10" spans="1:10" x14ac:dyDescent="0.25">
      <c r="F10">
        <v>2028</v>
      </c>
      <c r="G10">
        <v>0</v>
      </c>
      <c r="H10">
        <f>7.5*10^6</f>
        <v>7500000</v>
      </c>
      <c r="I10">
        <f>$B$1*'Beet Purchase'!G8</f>
        <v>2812500</v>
      </c>
      <c r="J10">
        <f>$B$1*'Beet Purchase'!H8</f>
        <v>8437500</v>
      </c>
    </row>
    <row r="11" spans="1:10" x14ac:dyDescent="0.25">
      <c r="F11">
        <v>2029</v>
      </c>
      <c r="G11">
        <v>0</v>
      </c>
      <c r="H11">
        <v>0</v>
      </c>
      <c r="I11">
        <f>$B$1*'Beet Purchase'!G9</f>
        <v>3750000</v>
      </c>
      <c r="J11">
        <f>$B$1*'Beet Purchase'!H9</f>
        <v>11250000</v>
      </c>
    </row>
    <row r="12" spans="1:10" x14ac:dyDescent="0.25">
      <c r="F12">
        <v>2030</v>
      </c>
      <c r="G12">
        <v>0</v>
      </c>
      <c r="H12">
        <v>0</v>
      </c>
      <c r="I12">
        <f>$B$1*'Beet Purchase'!G10</f>
        <v>3750000</v>
      </c>
      <c r="J12">
        <f>$B$1*'Beet Purchase'!H10</f>
        <v>11250000</v>
      </c>
    </row>
  </sheetData>
  <mergeCells count="3">
    <mergeCell ref="G4:H4"/>
    <mergeCell ref="I4:J4"/>
    <mergeCell ref="F4:F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86C58-B970-47B4-944F-7AE43801B165}">
  <sheetPr>
    <tabColor theme="4" tint="0.79998168889431442"/>
  </sheetPr>
  <dimension ref="A1:L24"/>
  <sheetViews>
    <sheetView workbookViewId="0">
      <selection activeCell="E21" sqref="E21"/>
    </sheetView>
  </sheetViews>
  <sheetFormatPr defaultRowHeight="15" x14ac:dyDescent="0.25"/>
  <cols>
    <col min="2" max="2" width="34.5703125" bestFit="1" customWidth="1"/>
    <col min="3" max="3" width="26.140625" bestFit="1" customWidth="1"/>
    <col min="4" max="4" width="17.5703125" bestFit="1" customWidth="1"/>
    <col min="5" max="5" width="26.140625" bestFit="1" customWidth="1"/>
    <col min="7" max="7" width="15.7109375" bestFit="1" customWidth="1"/>
    <col min="8" max="8" width="18.140625" bestFit="1" customWidth="1"/>
    <col min="9" max="9" width="14.7109375" bestFit="1" customWidth="1"/>
    <col min="10" max="10" width="16.5703125" bestFit="1" customWidth="1"/>
    <col min="11" max="11" width="14.5703125" bestFit="1" customWidth="1"/>
  </cols>
  <sheetData>
    <row r="1" spans="1:11" ht="15.75" thickBot="1" x14ac:dyDescent="0.3">
      <c r="A1" s="8" t="s">
        <v>74</v>
      </c>
      <c r="B1" s="10"/>
      <c r="C1" s="10"/>
      <c r="D1" s="10"/>
    </row>
    <row r="2" spans="1:11" ht="15.75" thickBot="1" x14ac:dyDescent="0.3">
      <c r="B2" t="s">
        <v>75</v>
      </c>
      <c r="C2">
        <f>(24.6*1.18)/100</f>
        <v>0.29027999999999998</v>
      </c>
      <c r="F2" s="26"/>
      <c r="G2" s="52" t="s">
        <v>73</v>
      </c>
      <c r="H2" s="53"/>
      <c r="I2" s="53"/>
      <c r="J2" s="53"/>
      <c r="K2" s="54"/>
    </row>
    <row r="3" spans="1:11" ht="15.75" thickBot="1" x14ac:dyDescent="0.3">
      <c r="B3" t="s">
        <v>76</v>
      </c>
      <c r="C3">
        <f>(4.59*1.18)/100</f>
        <v>5.4162000000000002E-2</v>
      </c>
      <c r="F3" s="26"/>
      <c r="G3" s="42" t="s">
        <v>70</v>
      </c>
      <c r="H3" s="43"/>
      <c r="I3" s="44" t="s">
        <v>30</v>
      </c>
      <c r="J3" s="45" t="s">
        <v>71</v>
      </c>
      <c r="K3" s="46" t="s">
        <v>72</v>
      </c>
    </row>
    <row r="4" spans="1:11" ht="15.75" thickBot="1" x14ac:dyDescent="0.3">
      <c r="C4" s="26" t="s">
        <v>62</v>
      </c>
      <c r="D4" s="26" t="s">
        <v>63</v>
      </c>
      <c r="F4" s="26" t="s">
        <v>35</v>
      </c>
      <c r="G4" s="47" t="s">
        <v>70</v>
      </c>
      <c r="H4" s="48" t="s">
        <v>63</v>
      </c>
      <c r="I4" s="49"/>
      <c r="J4" s="50"/>
      <c r="K4" s="51"/>
    </row>
    <row r="5" spans="1:11" x14ac:dyDescent="0.25">
      <c r="B5" s="26" t="s">
        <v>59</v>
      </c>
      <c r="C5" s="28" t="s">
        <v>60</v>
      </c>
      <c r="D5" s="28" t="s">
        <v>64</v>
      </c>
      <c r="F5" s="26">
        <v>2024</v>
      </c>
      <c r="G5" s="32">
        <f>$C$7*'Beet Purchase'!I4</f>
        <v>0</v>
      </c>
      <c r="H5" s="33">
        <f>$D$7*'Beet Purchase'!I4</f>
        <v>0</v>
      </c>
      <c r="I5" s="39">
        <f>$C$12*'Beet Purchase'!D4</f>
        <v>480000</v>
      </c>
      <c r="J5" s="38">
        <f>$C$17*'Beet Purchase'!G4</f>
        <v>0</v>
      </c>
      <c r="K5" s="33">
        <f>$D$17*'Beet Purchase'!H4</f>
        <v>0</v>
      </c>
    </row>
    <row r="6" spans="1:11" x14ac:dyDescent="0.25">
      <c r="B6" s="26" t="s">
        <v>65</v>
      </c>
      <c r="C6" s="28" t="s">
        <v>66</v>
      </c>
      <c r="D6" s="28" t="s">
        <v>1</v>
      </c>
      <c r="F6" s="26">
        <v>2025</v>
      </c>
      <c r="G6" s="32">
        <f>$C$7*'Beet Purchase'!I5</f>
        <v>2800000</v>
      </c>
      <c r="H6" s="33">
        <f>$D$7*'Beet Purchase'!I5</f>
        <v>420000</v>
      </c>
      <c r="I6" s="39">
        <f>$C$12*'Beet Purchase'!D5</f>
        <v>480000</v>
      </c>
      <c r="J6" s="38">
        <f>$C$17*'Beet Purchase'!G5</f>
        <v>0</v>
      </c>
      <c r="K6" s="33">
        <f>$D$17*'Beet Purchase'!H5</f>
        <v>0</v>
      </c>
    </row>
    <row r="7" spans="1:11" x14ac:dyDescent="0.25">
      <c r="B7" s="26" t="s">
        <v>61</v>
      </c>
      <c r="C7" s="28">
        <v>400</v>
      </c>
      <c r="D7" s="28">
        <v>60</v>
      </c>
      <c r="F7" s="26">
        <v>2026</v>
      </c>
      <c r="G7" s="32">
        <f>$C$7*'Beet Purchase'!I6</f>
        <v>22800000</v>
      </c>
      <c r="H7" s="33">
        <f>$D$7*'Beet Purchase'!I6</f>
        <v>3420000</v>
      </c>
      <c r="I7" s="39">
        <f>$C$12*'Beet Purchase'!D6</f>
        <v>6880000</v>
      </c>
      <c r="J7" s="38">
        <f>$C$17*'Beet Purchase'!G6</f>
        <v>0</v>
      </c>
      <c r="K7" s="33">
        <f>$D$17*'Beet Purchase'!H6</f>
        <v>0</v>
      </c>
    </row>
    <row r="8" spans="1:11" x14ac:dyDescent="0.25">
      <c r="F8" s="26">
        <v>2027</v>
      </c>
      <c r="G8" s="32">
        <f>$C$7*'Beet Purchase'!I7</f>
        <v>31000000</v>
      </c>
      <c r="H8" s="33">
        <f>$D$7*'Beet Purchase'!I7</f>
        <v>4650000</v>
      </c>
      <c r="I8" s="39">
        <f>$C$12*'Beet Purchase'!D7</f>
        <v>1600000</v>
      </c>
      <c r="J8" s="38">
        <f>$C$17*'Beet Purchase'!G7</f>
        <v>5600000</v>
      </c>
      <c r="K8" s="33">
        <f>$D$17*'Beet Purchase'!H7</f>
        <v>10762500</v>
      </c>
    </row>
    <row r="9" spans="1:11" x14ac:dyDescent="0.25">
      <c r="C9" s="26" t="s">
        <v>67</v>
      </c>
      <c r="F9" s="26">
        <v>2028</v>
      </c>
      <c r="G9" s="32">
        <f>$C$7*'Beet Purchase'!I8</f>
        <v>16000000</v>
      </c>
      <c r="H9" s="33">
        <f>$D$7*'Beet Purchase'!I8</f>
        <v>2400000</v>
      </c>
      <c r="I9" s="39">
        <f>$C$12*'Beet Purchase'!D8</f>
        <v>1600000</v>
      </c>
      <c r="J9" s="38">
        <f>$C$17*'Beet Purchase'!G8</f>
        <v>6000000</v>
      </c>
      <c r="K9" s="33">
        <f>$D$17*'Beet Purchase'!H8</f>
        <v>23062500</v>
      </c>
    </row>
    <row r="10" spans="1:11" x14ac:dyDescent="0.25">
      <c r="B10" s="26" t="s">
        <v>59</v>
      </c>
      <c r="C10" s="27" t="s">
        <v>64</v>
      </c>
      <c r="F10" s="26">
        <v>2029</v>
      </c>
      <c r="G10" s="32">
        <f>$C$7*'Beet Purchase'!I9</f>
        <v>12000000</v>
      </c>
      <c r="H10" s="33">
        <f>$D$7*'Beet Purchase'!I9</f>
        <v>1800000</v>
      </c>
      <c r="I10" s="39">
        <f>$C$12*'Beet Purchase'!D9</f>
        <v>1600000</v>
      </c>
      <c r="J10" s="38">
        <f>$C$17*'Beet Purchase'!G9</f>
        <v>8000000</v>
      </c>
      <c r="K10" s="33">
        <f>$D$17*'Beet Purchase'!H9</f>
        <v>30750000</v>
      </c>
    </row>
    <row r="11" spans="1:11" ht="15.75" thickBot="1" x14ac:dyDescent="0.3">
      <c r="B11" s="26" t="s">
        <v>65</v>
      </c>
      <c r="C11" s="27" t="s">
        <v>7</v>
      </c>
      <c r="F11" s="26">
        <v>2030</v>
      </c>
      <c r="G11" s="34">
        <f>$C$7*'Beet Purchase'!I10</f>
        <v>12000000</v>
      </c>
      <c r="H11" s="35">
        <f>$D$7*'Beet Purchase'!I10</f>
        <v>1800000</v>
      </c>
      <c r="I11" s="40">
        <f>$C$12*'Beet Purchase'!D10</f>
        <v>1600000</v>
      </c>
      <c r="J11" s="41">
        <f>$C$17*'Beet Purchase'!G10</f>
        <v>8000000</v>
      </c>
      <c r="K11" s="35">
        <f>$D$17*'Beet Purchase'!H10</f>
        <v>30750000</v>
      </c>
    </row>
    <row r="12" spans="1:11" x14ac:dyDescent="0.25">
      <c r="B12" s="26" t="s">
        <v>61</v>
      </c>
      <c r="C12" s="27">
        <v>160</v>
      </c>
    </row>
    <row r="13" spans="1:11" x14ac:dyDescent="0.25">
      <c r="B13" s="26"/>
    </row>
    <row r="14" spans="1:11" ht="15.75" thickBot="1" x14ac:dyDescent="0.3">
      <c r="B14" s="26"/>
      <c r="C14" s="26" t="s">
        <v>68</v>
      </c>
      <c r="D14" s="26" t="s">
        <v>69</v>
      </c>
    </row>
    <row r="15" spans="1:11" ht="15.75" thickBot="1" x14ac:dyDescent="0.3">
      <c r="B15" s="26" t="s">
        <v>59</v>
      </c>
      <c r="C15" s="28" t="s">
        <v>64</v>
      </c>
      <c r="D15" s="29" t="s">
        <v>64</v>
      </c>
      <c r="F15" s="26"/>
      <c r="G15" s="52" t="s">
        <v>73</v>
      </c>
      <c r="H15" s="53"/>
      <c r="I15" s="53"/>
      <c r="J15" s="53"/>
      <c r="K15" s="54"/>
    </row>
    <row r="16" spans="1:11" ht="15.75" thickBot="1" x14ac:dyDescent="0.3">
      <c r="B16" s="26" t="s">
        <v>65</v>
      </c>
      <c r="C16" s="28" t="s">
        <v>7</v>
      </c>
      <c r="D16" s="29" t="s">
        <v>11</v>
      </c>
      <c r="F16" s="26"/>
      <c r="G16" s="42" t="s">
        <v>70</v>
      </c>
      <c r="H16" s="43"/>
      <c r="I16" s="44" t="s">
        <v>30</v>
      </c>
      <c r="J16" s="45" t="s">
        <v>71</v>
      </c>
      <c r="K16" s="46" t="s">
        <v>72</v>
      </c>
    </row>
    <row r="17" spans="2:12" ht="15.75" thickBot="1" x14ac:dyDescent="0.3">
      <c r="B17" s="26" t="s">
        <v>61</v>
      </c>
      <c r="C17" s="28">
        <v>160</v>
      </c>
      <c r="D17" s="29">
        <v>205</v>
      </c>
      <c r="F17" s="26" t="s">
        <v>35</v>
      </c>
      <c r="G17" s="47" t="s">
        <v>70</v>
      </c>
      <c r="H17" s="48" t="s">
        <v>63</v>
      </c>
      <c r="I17" s="49"/>
      <c r="J17" s="50"/>
      <c r="K17" s="51"/>
    </row>
    <row r="18" spans="2:12" x14ac:dyDescent="0.25">
      <c r="F18" s="26">
        <v>2024</v>
      </c>
      <c r="G18" s="30">
        <f>G5*$C$3</f>
        <v>0</v>
      </c>
      <c r="H18" s="31">
        <f>H5*$C$2</f>
        <v>0</v>
      </c>
      <c r="I18" s="55">
        <f>I5*$C$2</f>
        <v>139334.39999999999</v>
      </c>
      <c r="J18" s="37">
        <f>J5*$C$2</f>
        <v>0</v>
      </c>
      <c r="K18" s="31">
        <f>K5*$C$2</f>
        <v>0</v>
      </c>
      <c r="L18" s="36"/>
    </row>
    <row r="19" spans="2:12" x14ac:dyDescent="0.25">
      <c r="F19" s="26">
        <v>2025</v>
      </c>
      <c r="G19" s="32">
        <f>G6*$C$3</f>
        <v>151653.6</v>
      </c>
      <c r="H19" s="33">
        <f t="shared" ref="H19:K24" si="0">H6*$C$2</f>
        <v>121917.59999999999</v>
      </c>
      <c r="I19" s="39">
        <f>I6*$C$2</f>
        <v>139334.39999999999</v>
      </c>
      <c r="J19" s="38">
        <f>J6*$C$2</f>
        <v>0</v>
      </c>
      <c r="K19" s="33">
        <f>K6*$C$2</f>
        <v>0</v>
      </c>
      <c r="L19" s="36"/>
    </row>
    <row r="20" spans="2:12" x14ac:dyDescent="0.25">
      <c r="E20">
        <f>H18</f>
        <v>0</v>
      </c>
      <c r="F20" s="26">
        <v>2026</v>
      </c>
      <c r="G20" s="32">
        <f t="shared" ref="G20:G24" si="1">G7*$C$3</f>
        <v>1234893.6000000001</v>
      </c>
      <c r="H20" s="33">
        <f t="shared" si="0"/>
        <v>992757.6</v>
      </c>
      <c r="I20" s="39">
        <f t="shared" si="0"/>
        <v>1997126.4</v>
      </c>
      <c r="J20" s="38">
        <f t="shared" si="0"/>
        <v>0</v>
      </c>
      <c r="K20" s="33">
        <f t="shared" si="0"/>
        <v>0</v>
      </c>
      <c r="L20" s="36"/>
    </row>
    <row r="21" spans="2:12" x14ac:dyDescent="0.25">
      <c r="F21" s="26">
        <v>2027</v>
      </c>
      <c r="G21" s="32">
        <f t="shared" si="1"/>
        <v>1679022</v>
      </c>
      <c r="H21" s="33">
        <f t="shared" si="0"/>
        <v>1349802</v>
      </c>
      <c r="I21" s="39">
        <f t="shared" si="0"/>
        <v>464448</v>
      </c>
      <c r="J21" s="38">
        <f t="shared" si="0"/>
        <v>1625568</v>
      </c>
      <c r="K21" s="33">
        <f t="shared" si="0"/>
        <v>3124138.5</v>
      </c>
      <c r="L21" s="36"/>
    </row>
    <row r="22" spans="2:12" x14ac:dyDescent="0.25">
      <c r="F22" s="26">
        <v>2028</v>
      </c>
      <c r="G22" s="32">
        <f t="shared" si="1"/>
        <v>866592</v>
      </c>
      <c r="H22" s="33">
        <f t="shared" si="0"/>
        <v>696672</v>
      </c>
      <c r="I22" s="39">
        <f t="shared" si="0"/>
        <v>464448</v>
      </c>
      <c r="J22" s="38">
        <f t="shared" si="0"/>
        <v>1741680</v>
      </c>
      <c r="K22" s="33">
        <f t="shared" si="0"/>
        <v>6694582.5</v>
      </c>
      <c r="L22" s="36"/>
    </row>
    <row r="23" spans="2:12" x14ac:dyDescent="0.25">
      <c r="F23" s="26">
        <v>2029</v>
      </c>
      <c r="G23" s="32">
        <f t="shared" si="1"/>
        <v>649944</v>
      </c>
      <c r="H23" s="33">
        <f t="shared" si="0"/>
        <v>522503.99999999994</v>
      </c>
      <c r="I23" s="39">
        <f t="shared" si="0"/>
        <v>464448</v>
      </c>
      <c r="J23" s="38">
        <f t="shared" si="0"/>
        <v>2322240</v>
      </c>
      <c r="K23" s="33">
        <f t="shared" si="0"/>
        <v>8926110</v>
      </c>
      <c r="L23" s="36"/>
    </row>
    <row r="24" spans="2:12" ht="15.75" thickBot="1" x14ac:dyDescent="0.3">
      <c r="F24" s="26">
        <v>2030</v>
      </c>
      <c r="G24" s="34">
        <f t="shared" si="1"/>
        <v>649944</v>
      </c>
      <c r="H24" s="35">
        <f t="shared" si="0"/>
        <v>522503.99999999994</v>
      </c>
      <c r="I24" s="40">
        <f t="shared" si="0"/>
        <v>464448</v>
      </c>
      <c r="J24" s="41">
        <f t="shared" si="0"/>
        <v>2322240</v>
      </c>
      <c r="K24" s="35">
        <f t="shared" si="0"/>
        <v>8926110</v>
      </c>
      <c r="L24" s="36"/>
    </row>
  </sheetData>
  <mergeCells count="11">
    <mergeCell ref="A1:D1"/>
    <mergeCell ref="G2:K2"/>
    <mergeCell ref="G15:K15"/>
    <mergeCell ref="G16:H16"/>
    <mergeCell ref="I16:I17"/>
    <mergeCell ref="J16:J17"/>
    <mergeCell ref="K16:K17"/>
    <mergeCell ref="G3:H3"/>
    <mergeCell ref="I3:I4"/>
    <mergeCell ref="J3:J4"/>
    <mergeCell ref="K3:K4"/>
  </mergeCells>
  <hyperlinks>
    <hyperlink ref="A1" r:id="rId1" xr:uid="{E21C5FD9-7E78-4B94-87E6-A68EEA21FF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</vt:lpstr>
      <vt:lpstr>Natual gas</vt:lpstr>
      <vt:lpstr>Beet Purchase</vt:lpstr>
      <vt:lpstr>Skid</vt:lpstr>
      <vt:lpstr>Facilities</vt:lpstr>
      <vt:lpstr>Shipping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Gebben</dc:creator>
  <cp:lastModifiedBy>Alex Gebben</cp:lastModifiedBy>
  <dcterms:created xsi:type="dcterms:W3CDTF">2025-05-01T21:09:56Z</dcterms:created>
  <dcterms:modified xsi:type="dcterms:W3CDTF">2025-05-02T00:00:59Z</dcterms:modified>
</cp:coreProperties>
</file>