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tu1-my.sharepoint.com/personal/cmazur_peabodyenergy_com/Documents/Desktop/2 Clean Desktop/1-TESAR/MAZUR/"/>
    </mc:Choice>
  </mc:AlternateContent>
  <xr:revisionPtr revIDLastSave="0" documentId="8_{181F975A-B586-44D5-B0D0-4252FF0AC01D}" xr6:coauthVersionLast="47" xr6:coauthVersionMax="47" xr10:uidLastSave="{00000000-0000-0000-0000-000000000000}"/>
  <bookViews>
    <workbookView xWindow="-120" yWindow="-120" windowWidth="29040" windowHeight="15720" xr2:uid="{239309E8-9A98-4E1F-9549-62B9C049EDB7}"/>
  </bookViews>
  <sheets>
    <sheet name="Sheet1" sheetId="1" r:id="rId1"/>
  </sheets>
  <externalReferences>
    <externalReference r:id="rId2"/>
  </externalReferences>
  <definedNames>
    <definedName name="AnnYears">[1]ProjectData!$X$2:$X$32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cation">[1]ProjectData!$O$151:$O$204</definedName>
    <definedName name="YesNo">[1]ProjectData!$T$17:$T$18</definedName>
  </definedNames>
  <calcPr calcId="191029" iterate="1" iterateCount="1000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" i="1" l="1"/>
  <c r="Z21" i="1"/>
  <c r="AA21" i="1"/>
  <c r="V21" i="1"/>
  <c r="U21" i="1"/>
  <c r="Z15" i="1"/>
  <c r="X15" i="1"/>
  <c r="V15" i="1"/>
  <c r="U15" i="1"/>
  <c r="R20" i="1"/>
  <c r="R19" i="1"/>
  <c r="Y20" i="1"/>
  <c r="Q20" i="1" s="1"/>
  <c r="W20" i="1"/>
  <c r="P20" i="1" s="1"/>
  <c r="Y19" i="1"/>
  <c r="Q19" i="1" s="1"/>
  <c r="W19" i="1"/>
  <c r="P19" i="1" s="1"/>
  <c r="Y18" i="1"/>
  <c r="W18" i="1"/>
  <c r="AA13" i="1"/>
  <c r="AA14" i="1"/>
  <c r="Y13" i="1"/>
  <c r="Y14" i="1"/>
  <c r="W14" i="1"/>
  <c r="W13" i="1"/>
  <c r="W12" i="1"/>
  <c r="W11" i="1"/>
  <c r="AA15" i="1" l="1"/>
  <c r="W15" i="1"/>
  <c r="Y15" i="1"/>
  <c r="W21" i="1"/>
  <c r="Y21" i="1"/>
  <c r="D94" i="1" l="1"/>
  <c r="D93" i="1"/>
  <c r="D92" i="1"/>
  <c r="L39" i="1"/>
  <c r="L72" i="1"/>
  <c r="L68" i="1"/>
  <c r="L67" i="1"/>
  <c r="L66" i="1"/>
  <c r="L61" i="1"/>
  <c r="L60" i="1"/>
  <c r="L59" i="1"/>
  <c r="L51" i="1"/>
  <c r="L50" i="1"/>
  <c r="L49" i="1"/>
  <c r="L48" i="1"/>
  <c r="L47" i="1"/>
  <c r="L46" i="1"/>
  <c r="L45" i="1"/>
  <c r="L44" i="1"/>
  <c r="L38" i="1"/>
  <c r="L34" i="1"/>
  <c r="L33" i="1"/>
  <c r="L32" i="1"/>
  <c r="B72" i="1"/>
  <c r="G72" i="1" s="1"/>
  <c r="C68" i="1"/>
  <c r="B68" i="1" s="1"/>
  <c r="G68" i="1" s="1"/>
  <c r="C67" i="1"/>
  <c r="C66" i="1"/>
  <c r="D69" i="1"/>
  <c r="D62" i="1"/>
  <c r="O81" i="1"/>
  <c r="F81" i="1" s="1"/>
  <c r="D81" i="1" s="1"/>
  <c r="B81" i="1" s="1"/>
  <c r="B27" i="1"/>
  <c r="B26" i="1"/>
  <c r="B22" i="1" s="1"/>
  <c r="D52" i="1"/>
  <c r="D40" i="1"/>
  <c r="D35" i="1"/>
  <c r="C21" i="1"/>
  <c r="C13" i="1"/>
  <c r="L81" i="1" l="1"/>
  <c r="B59" i="1" s="1"/>
  <c r="B66" i="1"/>
  <c r="G66" i="1" s="1"/>
  <c r="B67" i="1"/>
  <c r="G67" i="1" s="1"/>
  <c r="C72" i="1"/>
  <c r="C69" i="1"/>
  <c r="B44" i="1"/>
  <c r="G44" i="1" s="1"/>
  <c r="B39" i="1"/>
  <c r="B38" i="1"/>
  <c r="G38" i="1" s="1"/>
  <c r="B34" i="1"/>
  <c r="B33" i="1"/>
  <c r="B32" i="1"/>
  <c r="G32" i="1" s="1"/>
  <c r="B47" i="1"/>
  <c r="B46" i="1"/>
  <c r="B45" i="1"/>
  <c r="B51" i="1"/>
  <c r="B50" i="1"/>
  <c r="B49" i="1"/>
  <c r="B48" i="1"/>
  <c r="D41" i="1"/>
  <c r="D54" i="1" s="1"/>
  <c r="G69" i="1" l="1"/>
  <c r="I81" i="1"/>
  <c r="O18" i="1" s="1"/>
  <c r="O21" i="1" s="1"/>
  <c r="G59" i="1"/>
  <c r="C59" i="1"/>
  <c r="B60" i="1"/>
  <c r="G60" i="1" s="1"/>
  <c r="B61" i="1"/>
  <c r="C61" i="1" s="1"/>
  <c r="B69" i="1"/>
  <c r="R18" i="1"/>
  <c r="R21" i="1" s="1"/>
  <c r="C46" i="1"/>
  <c r="G46" i="1"/>
  <c r="C47" i="1"/>
  <c r="G47" i="1"/>
  <c r="C34" i="1"/>
  <c r="G34" i="1"/>
  <c r="C33" i="1"/>
  <c r="G33" i="1"/>
  <c r="C39" i="1"/>
  <c r="G39" i="1"/>
  <c r="G40" i="1" s="1"/>
  <c r="C48" i="1"/>
  <c r="G48" i="1"/>
  <c r="C49" i="1"/>
  <c r="G49" i="1"/>
  <c r="C50" i="1"/>
  <c r="G50" i="1"/>
  <c r="C51" i="1"/>
  <c r="G51" i="1"/>
  <c r="C45" i="1"/>
  <c r="G45" i="1"/>
  <c r="C44" i="1"/>
  <c r="B52" i="1"/>
  <c r="C32" i="1"/>
  <c r="B35" i="1"/>
  <c r="C38" i="1"/>
  <c r="B40" i="1"/>
  <c r="C40" i="1" l="1"/>
  <c r="B62" i="1"/>
  <c r="B73" i="1" s="1"/>
  <c r="B24" i="1" s="1"/>
  <c r="C60" i="1"/>
  <c r="P18" i="1"/>
  <c r="P21" i="1" s="1"/>
  <c r="Q18" i="1"/>
  <c r="Q21" i="1" s="1"/>
  <c r="G61" i="1"/>
  <c r="G62" i="1"/>
  <c r="B87" i="1"/>
  <c r="C87" i="1" s="1"/>
  <c r="F87" i="1" s="1"/>
  <c r="B88" i="1"/>
  <c r="C88" i="1" s="1"/>
  <c r="B89" i="1"/>
  <c r="C89" i="1" s="1"/>
  <c r="I89" i="1" s="1"/>
  <c r="G35" i="1"/>
  <c r="G41" i="1" s="1"/>
  <c r="C35" i="1"/>
  <c r="C41" i="1" s="1"/>
  <c r="C62" i="1"/>
  <c r="G73" i="1"/>
  <c r="B25" i="1" s="1"/>
  <c r="G52" i="1"/>
  <c r="C52" i="1"/>
  <c r="B41" i="1"/>
  <c r="B54" i="1" s="1"/>
  <c r="C54" i="1" l="1"/>
  <c r="G88" i="1"/>
  <c r="F88" i="1"/>
  <c r="I88" i="1"/>
  <c r="F89" i="1"/>
  <c r="G89" i="1"/>
  <c r="I87" i="1"/>
  <c r="G87" i="1"/>
  <c r="G54" i="1"/>
  <c r="B23" i="1" s="1"/>
  <c r="I90" i="1" l="1"/>
  <c r="O14" i="1" s="1"/>
  <c r="Q14" i="1" s="1"/>
  <c r="J89" i="1"/>
  <c r="J88" i="1"/>
  <c r="O12" i="1"/>
  <c r="P12" i="1" s="1"/>
  <c r="G90" i="1"/>
  <c r="O13" i="1" s="1"/>
  <c r="P13" i="1" s="1"/>
  <c r="R13" i="1"/>
  <c r="O11" i="1"/>
  <c r="P11" i="1" s="1"/>
  <c r="J87" i="1"/>
  <c r="F90" i="1"/>
  <c r="J90" i="1" l="1"/>
  <c r="P14" i="1"/>
  <c r="P15" i="1" s="1"/>
  <c r="R14" i="1"/>
  <c r="Q13" i="1"/>
  <c r="R15" i="1"/>
  <c r="Q15" i="1"/>
  <c r="O15" i="1"/>
</calcChain>
</file>

<file path=xl/sharedStrings.xml><?xml version="1.0" encoding="utf-8"?>
<sst xmlns="http://schemas.openxmlformats.org/spreadsheetml/2006/main" count="153" uniqueCount="110">
  <si>
    <t>Cost</t>
  </si>
  <si>
    <t>Local Share</t>
  </si>
  <si>
    <t>US</t>
  </si>
  <si>
    <t>Japan</t>
  </si>
  <si>
    <t>Other</t>
  </si>
  <si>
    <t>Total Share</t>
  </si>
  <si>
    <t>Payroll Parameters</t>
  </si>
  <si>
    <t xml:space="preserve">  Labor (average wage per hour for all plant workers)</t>
  </si>
  <si>
    <t xml:space="preserve">Year Construction Starts </t>
  </si>
  <si>
    <t>Heat Rate (Btu per kWh)</t>
  </si>
  <si>
    <t>Construction Period (Months)</t>
  </si>
  <si>
    <t>Plant Construction Cost ($/kW)</t>
  </si>
  <si>
    <t>Cost of Fuel ($/mmbtu)</t>
  </si>
  <si>
    <t xml:space="preserve">Produced Locally (Percent) </t>
  </si>
  <si>
    <t>Fixed Operations and Maintenance Cost ($/kW)</t>
  </si>
  <si>
    <t>Variable Operations and Maintenance Cost ($/MWh)</t>
  </si>
  <si>
    <t xml:space="preserve">Money Value (Dollar Year) </t>
  </si>
  <si>
    <t>Construction Costs</t>
  </si>
  <si>
    <t>Cost Per KW</t>
  </si>
  <si>
    <t>Percent of Total Cost</t>
  </si>
  <si>
    <t xml:space="preserve"> Facility and Equipment</t>
  </si>
  <si>
    <t xml:space="preserve">   Power Generation</t>
  </si>
  <si>
    <t xml:space="preserve">   General facilities</t>
  </si>
  <si>
    <t xml:space="preserve">   Plant Equipment</t>
  </si>
  <si>
    <t xml:space="preserve">   Facility and Equipment Subtotal</t>
  </si>
  <si>
    <t xml:space="preserve"> Labor</t>
  </si>
  <si>
    <t xml:space="preserve">   Construction Labor</t>
  </si>
  <si>
    <t xml:space="preserve">   Project management</t>
  </si>
  <si>
    <t xml:space="preserve">   Labor Subtotal</t>
  </si>
  <si>
    <t xml:space="preserve"> Construction Subtotal</t>
  </si>
  <si>
    <t>Other Costs</t>
  </si>
  <si>
    <t xml:space="preserve"> Engineering, Procurement, Construction Management</t>
  </si>
  <si>
    <t xml:space="preserve"> Construction insurance</t>
  </si>
  <si>
    <t xml:space="preserve"> Land</t>
  </si>
  <si>
    <t xml:space="preserve"> Catalysts &amp; chemicals</t>
  </si>
  <si>
    <t xml:space="preserve"> Grid intertie</t>
  </si>
  <si>
    <t xml:space="preserve"> Owner costs </t>
  </si>
  <si>
    <t xml:space="preserve"> Legal and Advisory</t>
  </si>
  <si>
    <t xml:space="preserve"> Spare Parts</t>
  </si>
  <si>
    <t xml:space="preserve"> Other Subtotal</t>
  </si>
  <si>
    <t xml:space="preserve">Total </t>
  </si>
  <si>
    <t>Annual Operating and Maintenance Costs</t>
  </si>
  <si>
    <t>Fixed Costs</t>
  </si>
  <si>
    <t xml:space="preserve"> Materials</t>
  </si>
  <si>
    <t xml:space="preserve"> Services</t>
  </si>
  <si>
    <t xml:space="preserve"> Fixed Subtotal</t>
  </si>
  <si>
    <t>Variable Costs</t>
  </si>
  <si>
    <t xml:space="preserve"> Ash/sludge disposal</t>
  </si>
  <si>
    <t xml:space="preserve"> Water</t>
  </si>
  <si>
    <t xml:space="preserve"> Variable Subtotal</t>
  </si>
  <si>
    <t>Fuel Cost</t>
  </si>
  <si>
    <t>Total</t>
  </si>
  <si>
    <t>Capacity Factor</t>
  </si>
  <si>
    <t>Project Size Capacity (MW)</t>
  </si>
  <si>
    <t>Project Size Capacity (KW)</t>
  </si>
  <si>
    <t>Total MWH</t>
  </si>
  <si>
    <t>Total Project Cost</t>
  </si>
  <si>
    <t>Local Spending</t>
  </si>
  <si>
    <t>Direct Operating and Maintenance Costs</t>
  </si>
  <si>
    <t xml:space="preserve">  During construction period</t>
  </si>
  <si>
    <t xml:space="preserve">       Construction and Interconnection Labor</t>
  </si>
  <si>
    <t xml:space="preserve">       Construction Related Services</t>
  </si>
  <si>
    <t xml:space="preserve">     Induced Impacts</t>
  </si>
  <si>
    <t xml:space="preserve">     Total Impacts</t>
  </si>
  <si>
    <t xml:space="preserve">  During operating years (annual)</t>
  </si>
  <si>
    <t xml:space="preserve">     Onsite Labor Impacts</t>
  </si>
  <si>
    <t xml:space="preserve">     Local Revenue and Supply Chain Impacts</t>
  </si>
  <si>
    <t>Jobs</t>
  </si>
  <si>
    <t>Earnings</t>
  </si>
  <si>
    <t>Output</t>
  </si>
  <si>
    <t>Value Added</t>
  </si>
  <si>
    <t>Direct Plant Employees</t>
  </si>
  <si>
    <t>Govt</t>
  </si>
  <si>
    <t>wage/hour</t>
  </si>
  <si>
    <t>Payroll expense</t>
  </si>
  <si>
    <t>Default</t>
  </si>
  <si>
    <t>Health/Ins/Misc</t>
  </si>
  <si>
    <t>Fuel</t>
  </si>
  <si>
    <t>Cost Per MWh</t>
  </si>
  <si>
    <t>Local $ Spend</t>
  </si>
  <si>
    <t>% Project Share</t>
  </si>
  <si>
    <t>Project TESAR: Coal-Fired Power Generation Economic Impact Model</t>
  </si>
  <si>
    <t>Project Overview</t>
  </si>
  <si>
    <t>Installation Costs Local Demand</t>
  </si>
  <si>
    <t>Construction</t>
  </si>
  <si>
    <t>Manufacturing</t>
  </si>
  <si>
    <t>Professional Services</t>
  </si>
  <si>
    <t>Demand</t>
  </si>
  <si>
    <t>Direct</t>
  </si>
  <si>
    <t>Indirect</t>
  </si>
  <si>
    <t>Induced</t>
  </si>
  <si>
    <t>Indirect Impacts</t>
  </si>
  <si>
    <t>Induced Impacts</t>
  </si>
  <si>
    <t>Adj</t>
  </si>
  <si>
    <t>Construction Phases (3x1800MW)</t>
  </si>
  <si>
    <t>Base Case</t>
  </si>
  <si>
    <t>Project Development and Onsite Labor Impacts:</t>
  </si>
  <si>
    <t>Earnings/job</t>
  </si>
  <si>
    <t>Output/job</t>
  </si>
  <si>
    <t>Value added</t>
  </si>
  <si>
    <t>Value added/job</t>
  </si>
  <si>
    <t>Local Economic Impacts - Current Results ($ Millions)</t>
  </si>
  <si>
    <t>Base Case Multiplier</t>
  </si>
  <si>
    <t>Payroll Cost</t>
  </si>
  <si>
    <t xml:space="preserve"> Payroll/hour</t>
  </si>
  <si>
    <t>Labor cost per MW</t>
  </si>
  <si>
    <t>Reference/Calculation</t>
  </si>
  <si>
    <t>Wyoming</t>
  </si>
  <si>
    <t>Project Location</t>
  </si>
  <si>
    <t>Hard Coded Input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</si>
</sst>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* #,##0_);_(* \(#,##0\);_(* &quot;-&quot;??_);_(@_)"/>
    <numFmt numFmtId="167" formatCode="_(&quot;$&quot;* #,##0_);_(&quot;$&quot;* \(#,##0\);_(&quot;$&quot;* &quot;-&quot;??_);_(@_)"/>
    <numFmt numFmtId="168" formatCode="0.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12"/>
      <color theme="0"/>
      <name val="Arial"/>
      <family val="2"/>
    </font>
    <font>
      <b/>
      <sz val="9"/>
      <color rgb="FF0070C0"/>
      <name val="Arial"/>
      <family val="2"/>
    </font>
    <font>
      <b/>
      <i/>
      <sz val="11"/>
      <color rgb="FF0070C0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1" fontId="2" fillId="0" borderId="0" xfId="0" quotePrefix="1" applyNumberFormat="1" applyFont="1" applyAlignment="1">
      <alignment horizontal="left"/>
    </xf>
    <xf numFmtId="1" fontId="2" fillId="0" borderId="0" xfId="0" applyNumberFormat="1" applyFont="1"/>
    <xf numFmtId="1" fontId="3" fillId="0" borderId="0" xfId="0" quotePrefix="1" applyNumberFormat="1" applyFont="1" applyAlignment="1">
      <alignment horizontal="left"/>
    </xf>
    <xf numFmtId="1" fontId="4" fillId="0" borderId="0" xfId="0" applyNumberFormat="1" applyFont="1"/>
    <xf numFmtId="1" fontId="3" fillId="0" borderId="0" xfId="0" applyNumberFormat="1" applyFont="1"/>
    <xf numFmtId="166" fontId="2" fillId="0" borderId="0" xfId="1" applyNumberFormat="1" applyFont="1" applyFill="1" applyAlignment="1" applyProtection="1">
      <alignment horizontal="right"/>
      <protection locked="0"/>
    </xf>
    <xf numFmtId="1" fontId="3" fillId="0" borderId="0" xfId="0" applyNumberFormat="1" applyFont="1" applyAlignment="1">
      <alignment horizontal="left"/>
    </xf>
    <xf numFmtId="1" fontId="5" fillId="0" borderId="0" xfId="0" applyNumberFormat="1" applyFont="1"/>
    <xf numFmtId="1" fontId="2" fillId="0" borderId="0" xfId="0" applyNumberFormat="1" applyFont="1" applyAlignment="1">
      <alignment horizontal="center"/>
    </xf>
    <xf numFmtId="167" fontId="2" fillId="0" borderId="0" xfId="2" applyNumberFormat="1" applyFont="1" applyFill="1" applyAlignment="1" applyProtection="1">
      <alignment horizontal="right"/>
      <protection locked="0"/>
    </xf>
    <xf numFmtId="1" fontId="7" fillId="2" borderId="0" xfId="0" applyNumberFormat="1" applyFont="1" applyFill="1"/>
    <xf numFmtId="1" fontId="8" fillId="0" borderId="0" xfId="0" applyNumberFormat="1" applyFont="1"/>
    <xf numFmtId="0" fontId="8" fillId="0" borderId="0" xfId="0" applyFont="1"/>
    <xf numFmtId="1" fontId="9" fillId="2" borderId="0" xfId="0" applyNumberFormat="1" applyFont="1" applyFill="1"/>
    <xf numFmtId="1" fontId="8" fillId="0" borderId="0" xfId="0" applyNumberFormat="1" applyFont="1" applyProtection="1">
      <protection locked="0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0" fillId="0" borderId="0" xfId="0" applyFont="1"/>
    <xf numFmtId="0" fontId="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67" fontId="8" fillId="0" borderId="0" xfId="0" applyNumberFormat="1" applyFont="1"/>
    <xf numFmtId="44" fontId="8" fillId="0" borderId="0" xfId="2" applyFont="1" applyFill="1"/>
    <xf numFmtId="10" fontId="8" fillId="0" borderId="0" xfId="3" applyNumberFormat="1" applyFont="1" applyFill="1"/>
    <xf numFmtId="9" fontId="8" fillId="0" borderId="0" xfId="3" applyFont="1" applyFill="1"/>
    <xf numFmtId="167" fontId="8" fillId="0" borderId="0" xfId="2" applyNumberFormat="1" applyFont="1" applyFill="1"/>
    <xf numFmtId="0" fontId="8" fillId="0" borderId="1" xfId="0" applyFont="1" applyBorder="1"/>
    <xf numFmtId="167" fontId="8" fillId="0" borderId="1" xfId="2" applyNumberFormat="1" applyFont="1" applyFill="1" applyBorder="1"/>
    <xf numFmtId="44" fontId="8" fillId="0" borderId="1" xfId="2" applyFont="1" applyFill="1" applyBorder="1"/>
    <xf numFmtId="10" fontId="8" fillId="0" borderId="1" xfId="3" applyNumberFormat="1" applyFont="1" applyFill="1" applyBorder="1"/>
    <xf numFmtId="0" fontId="8" fillId="0" borderId="3" xfId="0" applyFont="1" applyBorder="1"/>
    <xf numFmtId="167" fontId="8" fillId="0" borderId="3" xfId="0" applyNumberFormat="1" applyFont="1" applyBorder="1"/>
    <xf numFmtId="10" fontId="8" fillId="0" borderId="3" xfId="3" applyNumberFormat="1" applyFont="1" applyFill="1" applyBorder="1"/>
    <xf numFmtId="44" fontId="8" fillId="0" borderId="0" xfId="0" applyNumberFormat="1" applyFont="1"/>
    <xf numFmtId="167" fontId="10" fillId="0" borderId="0" xfId="0" applyNumberFormat="1" applyFont="1" applyAlignment="1">
      <alignment horizontal="center" vertical="center" wrapText="1"/>
    </xf>
    <xf numFmtId="0" fontId="10" fillId="0" borderId="2" xfId="0" applyFont="1" applyBorder="1"/>
    <xf numFmtId="10" fontId="8" fillId="0" borderId="0" xfId="0" applyNumberFormat="1" applyFont="1"/>
    <xf numFmtId="166" fontId="8" fillId="0" borderId="0" xfId="1" applyNumberFormat="1" applyFont="1" applyFill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1" fontId="11" fillId="3" borderId="0" xfId="0" quotePrefix="1" applyNumberFormat="1" applyFont="1" applyFill="1" applyAlignment="1">
      <alignment horizontal="left"/>
    </xf>
    <xf numFmtId="1" fontId="9" fillId="3" borderId="0" xfId="0" applyNumberFormat="1" applyFont="1" applyFill="1"/>
    <xf numFmtId="0" fontId="9" fillId="3" borderId="0" xfId="0" applyFont="1" applyFill="1"/>
    <xf numFmtId="9" fontId="8" fillId="0" borderId="1" xfId="3" applyFont="1" applyFill="1" applyBorder="1"/>
    <xf numFmtId="167" fontId="9" fillId="3" borderId="0" xfId="2" applyNumberFormat="1" applyFont="1" applyFill="1"/>
    <xf numFmtId="167" fontId="6" fillId="2" borderId="0" xfId="2" applyNumberFormat="1" applyFont="1" applyFill="1"/>
    <xf numFmtId="167" fontId="6" fillId="2" borderId="0" xfId="2" applyNumberFormat="1" applyFont="1" applyFill="1" applyAlignment="1">
      <alignment horizontal="center" vertical="center" wrapText="1"/>
    </xf>
    <xf numFmtId="167" fontId="8" fillId="0" borderId="0" xfId="2" applyNumberFormat="1" applyFont="1" applyFill="1" applyAlignment="1">
      <alignment horizontal="center"/>
    </xf>
    <xf numFmtId="167" fontId="10" fillId="0" borderId="0" xfId="2" applyNumberFormat="1" applyFont="1" applyFill="1" applyAlignment="1">
      <alignment horizontal="center" vertical="center" wrapText="1"/>
    </xf>
    <xf numFmtId="167" fontId="10" fillId="0" borderId="2" xfId="2" applyNumberFormat="1" applyFont="1" applyFill="1" applyBorder="1"/>
    <xf numFmtId="44" fontId="10" fillId="0" borderId="2" xfId="2" applyFont="1" applyFill="1" applyBorder="1"/>
    <xf numFmtId="10" fontId="10" fillId="0" borderId="2" xfId="3" applyNumberFormat="1" applyFont="1" applyFill="1" applyBorder="1"/>
    <xf numFmtId="167" fontId="10" fillId="0" borderId="2" xfId="0" applyNumberFormat="1" applyFont="1" applyBorder="1"/>
    <xf numFmtId="0" fontId="10" fillId="0" borderId="0" xfId="0" applyFont="1" applyAlignment="1">
      <alignment vertical="center"/>
    </xf>
    <xf numFmtId="2" fontId="8" fillId="0" borderId="0" xfId="0" applyNumberFormat="1" applyFont="1"/>
    <xf numFmtId="166" fontId="8" fillId="0" borderId="0" xfId="1" applyNumberFormat="1" applyFont="1" applyFill="1" applyAlignment="1">
      <alignment horizontal="center"/>
    </xf>
    <xf numFmtId="166" fontId="8" fillId="0" borderId="0" xfId="0" applyNumberFormat="1" applyFont="1"/>
    <xf numFmtId="166" fontId="8" fillId="0" borderId="1" xfId="1" applyNumberFormat="1" applyFont="1" applyFill="1" applyBorder="1"/>
    <xf numFmtId="166" fontId="8" fillId="0" borderId="1" xfId="1" applyNumberFormat="1" applyFont="1" applyFill="1" applyBorder="1" applyAlignment="1">
      <alignment horizontal="center"/>
    </xf>
    <xf numFmtId="166" fontId="8" fillId="0" borderId="1" xfId="0" applyNumberFormat="1" applyFont="1" applyBorder="1"/>
    <xf numFmtId="166" fontId="8" fillId="0" borderId="2" xfId="0" applyNumberFormat="1" applyFont="1" applyBorder="1"/>
    <xf numFmtId="0" fontId="8" fillId="2" borderId="0" xfId="0" applyFont="1" applyFill="1"/>
    <xf numFmtId="44" fontId="8" fillId="0" borderId="0" xfId="2" applyFont="1"/>
    <xf numFmtId="166" fontId="8" fillId="0" borderId="0" xfId="1" applyNumberFormat="1" applyFont="1"/>
    <xf numFmtId="44" fontId="8" fillId="0" borderId="2" xfId="2" applyFont="1" applyBorder="1"/>
    <xf numFmtId="0" fontId="10" fillId="0" borderId="0" xfId="0" applyFont="1" applyAlignment="1">
      <alignment horizontal="center"/>
    </xf>
    <xf numFmtId="166" fontId="12" fillId="0" borderId="0" xfId="1" applyNumberFormat="1" applyFont="1" applyFill="1" applyAlignment="1" applyProtection="1">
      <alignment horizontal="right"/>
      <protection locked="0"/>
    </xf>
    <xf numFmtId="9" fontId="12" fillId="0" borderId="0" xfId="3" applyFont="1" applyFill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164" fontId="12" fillId="0" borderId="0" xfId="2" applyNumberFormat="1" applyFont="1" applyFill="1" applyAlignment="1" applyProtection="1">
      <alignment horizontal="right"/>
      <protection locked="0"/>
    </xf>
    <xf numFmtId="7" fontId="12" fillId="0" borderId="0" xfId="2" applyNumberFormat="1" applyFont="1" applyFill="1" applyBorder="1" applyAlignment="1" applyProtection="1">
      <alignment horizontal="right"/>
      <protection locked="0"/>
    </xf>
    <xf numFmtId="165" fontId="12" fillId="0" borderId="0" xfId="2" applyNumberFormat="1" applyFont="1" applyFill="1" applyBorder="1" applyAlignment="1" applyProtection="1">
      <alignment horizontal="right"/>
      <protection locked="0"/>
    </xf>
    <xf numFmtId="165" fontId="12" fillId="0" borderId="0" xfId="0" applyNumberFormat="1" applyFont="1" applyAlignment="1" applyProtection="1">
      <alignment horizontal="right"/>
      <protection locked="0"/>
    </xf>
    <xf numFmtId="1" fontId="12" fillId="0" borderId="0" xfId="0" applyNumberFormat="1" applyFont="1" applyAlignment="1" applyProtection="1">
      <alignment horizontal="right"/>
      <protection locked="0"/>
    </xf>
    <xf numFmtId="168" fontId="12" fillId="0" borderId="0" xfId="0" applyNumberFormat="1" applyFont="1"/>
    <xf numFmtId="10" fontId="12" fillId="0" borderId="0" xfId="3" applyNumberFormat="1" applyFont="1" applyFill="1"/>
    <xf numFmtId="10" fontId="10" fillId="0" borderId="0" xfId="3" applyNumberFormat="1" applyFont="1" applyFill="1"/>
    <xf numFmtId="9" fontId="12" fillId="0" borderId="0" xfId="3" applyFont="1" applyFill="1"/>
    <xf numFmtId="10" fontId="12" fillId="0" borderId="1" xfId="3" applyNumberFormat="1" applyFont="1" applyFill="1" applyBorder="1"/>
    <xf numFmtId="10" fontId="10" fillId="0" borderId="1" xfId="3" applyNumberFormat="1" applyFont="1" applyFill="1" applyBorder="1"/>
    <xf numFmtId="9" fontId="12" fillId="0" borderId="1" xfId="3" applyFont="1" applyFill="1" applyBorder="1"/>
    <xf numFmtId="44" fontId="12" fillId="0" borderId="0" xfId="2" applyFont="1" applyFill="1"/>
    <xf numFmtId="10" fontId="12" fillId="0" borderId="0" xfId="3" applyNumberFormat="1" applyFont="1" applyFill="1" applyBorder="1"/>
    <xf numFmtId="166" fontId="12" fillId="0" borderId="0" xfId="1" applyNumberFormat="1" applyFont="1"/>
    <xf numFmtId="44" fontId="12" fillId="0" borderId="0" xfId="2" applyFont="1"/>
    <xf numFmtId="1" fontId="13" fillId="4" borderId="4" xfId="0" quotePrefix="1" applyNumberFormat="1" applyFont="1" applyFill="1" applyBorder="1" applyAlignment="1">
      <alignment horizontal="left"/>
    </xf>
    <xf numFmtId="1" fontId="14" fillId="4" borderId="5" xfId="0" quotePrefix="1" applyNumberFormat="1" applyFont="1" applyFill="1" applyBorder="1" applyAlignment="1">
      <alignment horizontal="left"/>
    </xf>
    <xf numFmtId="1" fontId="2" fillId="0" borderId="0" xfId="1" applyNumberFormat="1" applyFont="1" applyFill="1" applyAlignment="1" applyProtection="1">
      <alignment horizontal="right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tu1.sharepoint.com/sites/GlobalCorporateDevelopment/Global%20Corp%20Development/Global%20Corporate%20Development/US%20Corp%20Development/0%20-%20Project%20Tesar/JEDI%20Model_rm.xlsm" TargetMode="External"/><Relationship Id="rId1" Type="http://schemas.openxmlformats.org/officeDocument/2006/relationships/externalLinkPath" Target="JEDI%20Model_r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 JEDI"/>
      <sheetName val="FAQ"/>
      <sheetName val="Start"/>
      <sheetName val="ProjectData"/>
      <sheetName val="SummaryResults"/>
      <sheetName val="User Add-in Location"/>
      <sheetName val="DefaultData"/>
      <sheetName val="Calculations"/>
      <sheetName val="Deflators"/>
      <sheetName val="Household Exp"/>
      <sheetName val="Multipliers"/>
    </sheetNames>
    <sheetDataSet>
      <sheetData sheetId="0"/>
      <sheetData sheetId="1"/>
      <sheetData sheetId="2"/>
      <sheetData sheetId="3">
        <row r="2">
          <cell r="X2">
            <v>2000</v>
          </cell>
        </row>
        <row r="3">
          <cell r="X3">
            <v>2001</v>
          </cell>
        </row>
        <row r="4">
          <cell r="X4">
            <v>2002</v>
          </cell>
        </row>
        <row r="5">
          <cell r="X5">
            <v>2003</v>
          </cell>
        </row>
        <row r="6">
          <cell r="X6">
            <v>2004</v>
          </cell>
        </row>
        <row r="7">
          <cell r="X7">
            <v>2005</v>
          </cell>
        </row>
        <row r="8">
          <cell r="X8">
            <v>2006</v>
          </cell>
        </row>
        <row r="9">
          <cell r="X9">
            <v>2007</v>
          </cell>
        </row>
        <row r="10">
          <cell r="X10">
            <v>2008</v>
          </cell>
        </row>
        <row r="11">
          <cell r="X11">
            <v>2009</v>
          </cell>
        </row>
        <row r="12">
          <cell r="X12">
            <v>2010</v>
          </cell>
        </row>
        <row r="13">
          <cell r="X13">
            <v>2011</v>
          </cell>
        </row>
        <row r="14">
          <cell r="X14">
            <v>2012</v>
          </cell>
        </row>
        <row r="15">
          <cell r="X15">
            <v>2013</v>
          </cell>
        </row>
        <row r="16">
          <cell r="X16">
            <v>2014</v>
          </cell>
        </row>
        <row r="17">
          <cell r="T17" t="str">
            <v>Y</v>
          </cell>
          <cell r="X17">
            <v>2015</v>
          </cell>
        </row>
        <row r="18">
          <cell r="T18" t="str">
            <v>N</v>
          </cell>
          <cell r="X18">
            <v>2016</v>
          </cell>
        </row>
        <row r="19">
          <cell r="X19">
            <v>2017</v>
          </cell>
        </row>
        <row r="20">
          <cell r="X20">
            <v>2018</v>
          </cell>
        </row>
        <row r="21">
          <cell r="X21">
            <v>2019</v>
          </cell>
        </row>
        <row r="22">
          <cell r="X22">
            <v>2020</v>
          </cell>
        </row>
        <row r="23">
          <cell r="X23">
            <v>2021</v>
          </cell>
        </row>
        <row r="24">
          <cell r="X24">
            <v>2022</v>
          </cell>
        </row>
        <row r="25">
          <cell r="X25">
            <v>2023</v>
          </cell>
        </row>
        <row r="26">
          <cell r="X26">
            <v>2024</v>
          </cell>
        </row>
        <row r="27">
          <cell r="X27">
            <v>2025</v>
          </cell>
        </row>
        <row r="28">
          <cell r="X28">
            <v>2026</v>
          </cell>
        </row>
        <row r="29">
          <cell r="X29">
            <v>2027</v>
          </cell>
        </row>
        <row r="30">
          <cell r="X30">
            <v>2028</v>
          </cell>
        </row>
        <row r="31">
          <cell r="X31">
            <v>2029</v>
          </cell>
        </row>
        <row r="32">
          <cell r="X32">
            <v>2030</v>
          </cell>
        </row>
        <row r="151">
          <cell r="O151" t="str">
            <v>MYCOUNTY</v>
          </cell>
        </row>
        <row r="152">
          <cell r="O152" t="str">
            <v>MYREGION</v>
          </cell>
        </row>
        <row r="153">
          <cell r="O153" t="str">
            <v>ALABAMA</v>
          </cell>
        </row>
        <row r="154">
          <cell r="O154" t="str">
            <v>ALASKA</v>
          </cell>
        </row>
        <row r="155">
          <cell r="O155" t="str">
            <v xml:space="preserve">ARIZONA </v>
          </cell>
        </row>
        <row r="156">
          <cell r="O156" t="str">
            <v>ARKANSAS</v>
          </cell>
        </row>
        <row r="157">
          <cell r="O157" t="str">
            <v xml:space="preserve">CALIFORNIA </v>
          </cell>
        </row>
        <row r="158">
          <cell r="O158" t="str">
            <v xml:space="preserve">COLORADO </v>
          </cell>
        </row>
        <row r="159">
          <cell r="O159" t="str">
            <v>CONNECTICUT</v>
          </cell>
        </row>
        <row r="160">
          <cell r="O160" t="str">
            <v>DELAWARE</v>
          </cell>
        </row>
        <row r="161">
          <cell r="O161" t="str">
            <v>DISTRICT OF COLUMBIA</v>
          </cell>
        </row>
        <row r="162">
          <cell r="O162" t="str">
            <v>FLORIDA</v>
          </cell>
        </row>
        <row r="163">
          <cell r="O163" t="str">
            <v>GEORGIA</v>
          </cell>
        </row>
        <row r="164">
          <cell r="O164" t="str">
            <v>HAWAII</v>
          </cell>
        </row>
        <row r="165">
          <cell r="O165" t="str">
            <v>IDAHO</v>
          </cell>
        </row>
        <row r="166">
          <cell r="O166" t="str">
            <v>ILLINOIS</v>
          </cell>
        </row>
        <row r="167">
          <cell r="O167" t="str">
            <v>INDIANA</v>
          </cell>
        </row>
        <row r="168">
          <cell r="O168" t="str">
            <v>IOWA</v>
          </cell>
        </row>
        <row r="169">
          <cell r="O169" t="str">
            <v>KANSAS</v>
          </cell>
        </row>
        <row r="170">
          <cell r="O170" t="str">
            <v>KENTUCKY</v>
          </cell>
        </row>
        <row r="171">
          <cell r="O171" t="str">
            <v>LOUISIANA</v>
          </cell>
        </row>
        <row r="172">
          <cell r="O172" t="str">
            <v>MAINE</v>
          </cell>
        </row>
        <row r="173">
          <cell r="O173" t="str">
            <v>MARYLAND</v>
          </cell>
        </row>
        <row r="174">
          <cell r="O174" t="str">
            <v>MASSACHUSETTS</v>
          </cell>
        </row>
        <row r="175">
          <cell r="O175" t="str">
            <v>MICHIGAN</v>
          </cell>
        </row>
        <row r="176">
          <cell r="O176" t="str">
            <v>MINNESOTA</v>
          </cell>
        </row>
        <row r="177">
          <cell r="O177" t="str">
            <v>MISSISSIPPI</v>
          </cell>
        </row>
        <row r="178">
          <cell r="O178" t="str">
            <v>MISSOURI</v>
          </cell>
        </row>
        <row r="179">
          <cell r="O179" t="str">
            <v>MONTANA</v>
          </cell>
        </row>
        <row r="180">
          <cell r="O180" t="str">
            <v>NEBRASKA</v>
          </cell>
        </row>
        <row r="181">
          <cell r="O181" t="str">
            <v>NEVADA</v>
          </cell>
        </row>
        <row r="182">
          <cell r="O182" t="str">
            <v>NEW HAMPSHIRE</v>
          </cell>
        </row>
        <row r="183">
          <cell r="O183" t="str">
            <v>NEW JERSEY</v>
          </cell>
        </row>
        <row r="184">
          <cell r="O184" t="str">
            <v>NEW MEXICO</v>
          </cell>
        </row>
        <row r="185">
          <cell r="O185" t="str">
            <v>NEW YORK</v>
          </cell>
        </row>
        <row r="186">
          <cell r="O186" t="str">
            <v>NORTH CAROLINA</v>
          </cell>
        </row>
        <row r="187">
          <cell r="O187" t="str">
            <v>NORTH DAKOTO</v>
          </cell>
        </row>
        <row r="188">
          <cell r="O188" t="str">
            <v>OHIO</v>
          </cell>
        </row>
        <row r="189">
          <cell r="O189" t="str">
            <v>OKLAHOMA</v>
          </cell>
        </row>
        <row r="190">
          <cell r="O190" t="str">
            <v>OREGON</v>
          </cell>
        </row>
        <row r="191">
          <cell r="O191" t="str">
            <v>PENNSYLVANIA</v>
          </cell>
        </row>
        <row r="192">
          <cell r="O192" t="str">
            <v>RHODE ISLAND</v>
          </cell>
        </row>
        <row r="193">
          <cell r="O193" t="str">
            <v>SOUTH CAROLINA</v>
          </cell>
        </row>
        <row r="194">
          <cell r="O194" t="str">
            <v>SOUTH DAKOTA</v>
          </cell>
        </row>
        <row r="195">
          <cell r="O195" t="str">
            <v>TENNESSEE</v>
          </cell>
        </row>
        <row r="196">
          <cell r="O196" t="str">
            <v>TEXAS</v>
          </cell>
        </row>
        <row r="197">
          <cell r="O197" t="str">
            <v>UNITED STATES</v>
          </cell>
        </row>
        <row r="198">
          <cell r="O198" t="str">
            <v>UTAH</v>
          </cell>
        </row>
        <row r="199">
          <cell r="O199" t="str">
            <v>VERMONT</v>
          </cell>
        </row>
        <row r="200">
          <cell r="O200" t="str">
            <v xml:space="preserve">VIRGINIA </v>
          </cell>
        </row>
        <row r="201">
          <cell r="O201" t="str">
            <v>WASHINGTON</v>
          </cell>
        </row>
        <row r="202">
          <cell r="O202" t="str">
            <v>WEST VIRGINIA</v>
          </cell>
        </row>
        <row r="203">
          <cell r="O203" t="str">
            <v>WISCONSIN</v>
          </cell>
        </row>
        <row r="204">
          <cell r="O204" t="str">
            <v>WYOMING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280E-B898-4257-85AF-F309C7EA5857}">
  <dimension ref="A1:AA94"/>
  <sheetViews>
    <sheetView tabSelected="1" zoomScaleNormal="100" workbookViewId="0">
      <selection activeCell="F14" sqref="F14"/>
    </sheetView>
  </sheetViews>
  <sheetFormatPr defaultColWidth="8.7109375" defaultRowHeight="12" x14ac:dyDescent="0.2"/>
  <cols>
    <col min="1" max="1" width="49.85546875" style="13" bestFit="1" customWidth="1"/>
    <col min="2" max="2" width="15.5703125" style="13" bestFit="1" customWidth="1"/>
    <col min="3" max="3" width="11" style="13" bestFit="1" customWidth="1"/>
    <col min="4" max="4" width="13.28515625" style="13" customWidth="1"/>
    <col min="5" max="5" width="1.5703125" style="13" customWidth="1"/>
    <col min="6" max="6" width="11.42578125" style="13" bestFit="1" customWidth="1"/>
    <col min="7" max="7" width="20.140625" style="26" customWidth="1"/>
    <col min="8" max="8" width="1.5703125" style="13" customWidth="1"/>
    <col min="9" max="12" width="10.140625" style="13" customWidth="1"/>
    <col min="13" max="13" width="1.5703125" style="13" customWidth="1"/>
    <col min="14" max="14" width="39.28515625" style="13" bestFit="1" customWidth="1"/>
    <col min="15" max="15" width="10.5703125" style="13" customWidth="1"/>
    <col min="16" max="16" width="13.5703125" style="13" bestFit="1" customWidth="1"/>
    <col min="17" max="18" width="10.5703125" style="13" customWidth="1"/>
    <col min="19" max="19" width="1.7109375" style="13" customWidth="1"/>
    <col min="20" max="20" width="39.42578125" style="13" bestFit="1" customWidth="1"/>
    <col min="21" max="21" width="7.5703125" style="13" bestFit="1" customWidth="1"/>
    <col min="22" max="22" width="10" style="13" bestFit="1" customWidth="1"/>
    <col min="23" max="23" width="11" style="13" bestFit="1" customWidth="1"/>
    <col min="24" max="24" width="10" style="13" bestFit="1" customWidth="1"/>
    <col min="25" max="25" width="9" style="13" bestFit="1" customWidth="1"/>
    <col min="26" max="26" width="10.85546875" style="13" bestFit="1" customWidth="1"/>
    <col min="27" max="27" width="13.85546875" style="13" bestFit="1" customWidth="1"/>
    <col min="28" max="16384" width="8.7109375" style="13"/>
  </cols>
  <sheetData>
    <row r="1" spans="1:27" s="43" customFormat="1" ht="15" x14ac:dyDescent="0.2">
      <c r="A1" s="41" t="s">
        <v>81</v>
      </c>
      <c r="B1" s="42"/>
      <c r="C1" s="42"/>
      <c r="D1" s="42"/>
      <c r="E1" s="42"/>
      <c r="F1" s="42"/>
      <c r="G1" s="45"/>
      <c r="H1" s="42"/>
      <c r="I1" s="42"/>
      <c r="J1" s="42"/>
      <c r="K1" s="42"/>
      <c r="L1" s="42"/>
    </row>
    <row r="2" spans="1:27" ht="12.75" thickBot="1" x14ac:dyDescent="0.25">
      <c r="A2" s="1"/>
      <c r="B2" s="12"/>
      <c r="C2" s="12"/>
      <c r="D2" s="12"/>
      <c r="E2" s="12"/>
      <c r="F2" s="12"/>
      <c r="H2" s="12"/>
      <c r="I2" s="12"/>
      <c r="J2" s="12"/>
      <c r="K2" s="12"/>
      <c r="L2" s="12"/>
    </row>
    <row r="3" spans="1:27" ht="14.25" x14ac:dyDescent="0.2">
      <c r="A3" s="86" t="s">
        <v>109</v>
      </c>
      <c r="B3" s="12"/>
      <c r="C3" s="12"/>
      <c r="D3" s="12"/>
      <c r="E3" s="12"/>
      <c r="F3" s="12"/>
      <c r="H3" s="12"/>
      <c r="I3" s="12"/>
      <c r="J3" s="12"/>
      <c r="K3" s="12"/>
      <c r="L3" s="12"/>
    </row>
    <row r="4" spans="1:27" ht="15" thickBot="1" x14ac:dyDescent="0.25">
      <c r="A4" s="87" t="s">
        <v>106</v>
      </c>
      <c r="B4" s="12"/>
      <c r="C4" s="12"/>
      <c r="D4" s="12"/>
      <c r="E4" s="12"/>
      <c r="F4" s="12"/>
      <c r="H4" s="12"/>
      <c r="I4" s="12"/>
      <c r="J4" s="12"/>
      <c r="K4" s="12"/>
      <c r="L4" s="12"/>
    </row>
    <row r="5" spans="1:27" x14ac:dyDescent="0.2">
      <c r="A5" s="1"/>
      <c r="B5" s="12"/>
      <c r="C5" s="12"/>
      <c r="D5" s="12"/>
      <c r="E5" s="12"/>
      <c r="F5" s="12"/>
      <c r="H5" s="12"/>
      <c r="I5" s="12"/>
      <c r="J5" s="12"/>
      <c r="K5" s="12"/>
      <c r="L5" s="12"/>
    </row>
    <row r="6" spans="1:27" x14ac:dyDescent="0.2">
      <c r="A6" s="1"/>
      <c r="B6" s="12"/>
      <c r="C6" s="12"/>
      <c r="D6" s="12"/>
      <c r="E6" s="12"/>
      <c r="F6" s="12"/>
      <c r="H6" s="12"/>
      <c r="I6" s="12"/>
      <c r="J6" s="12"/>
      <c r="K6" s="12"/>
      <c r="L6" s="12"/>
    </row>
    <row r="7" spans="1:27" x14ac:dyDescent="0.2">
      <c r="A7" s="1"/>
      <c r="B7" s="12"/>
      <c r="C7" s="12"/>
      <c r="D7" s="12"/>
      <c r="E7" s="12"/>
      <c r="F7" s="12"/>
      <c r="H7" s="12"/>
      <c r="I7" s="12"/>
      <c r="J7" s="12"/>
      <c r="K7" s="12"/>
      <c r="L7" s="12"/>
    </row>
    <row r="8" spans="1:27" ht="15" x14ac:dyDescent="0.25">
      <c r="A8" s="11" t="s">
        <v>82</v>
      </c>
      <c r="B8" s="14"/>
      <c r="C8" s="12"/>
      <c r="D8" s="15"/>
      <c r="E8" s="15"/>
      <c r="F8" s="12"/>
      <c r="H8" s="12"/>
      <c r="I8" s="12"/>
      <c r="J8" s="12"/>
      <c r="K8" s="12"/>
      <c r="L8" s="12"/>
      <c r="N8" s="39" t="s">
        <v>101</v>
      </c>
      <c r="O8" s="17"/>
      <c r="P8" s="17"/>
      <c r="Q8" s="17"/>
      <c r="R8" s="17"/>
      <c r="T8" s="16" t="s">
        <v>95</v>
      </c>
      <c r="U8" s="62"/>
      <c r="V8" s="62"/>
      <c r="W8" s="62"/>
      <c r="X8" s="62"/>
      <c r="Y8" s="62"/>
      <c r="Z8" s="62"/>
      <c r="AA8" s="62"/>
    </row>
    <row r="9" spans="1:27" x14ac:dyDescent="0.2">
      <c r="A9" s="3" t="s">
        <v>108</v>
      </c>
      <c r="B9" s="6" t="s">
        <v>107</v>
      </c>
      <c r="C9" s="4"/>
      <c r="D9" s="15"/>
      <c r="E9" s="15"/>
      <c r="J9" s="12"/>
      <c r="K9" s="12"/>
      <c r="L9" s="12"/>
      <c r="N9" s="18" t="s">
        <v>59</v>
      </c>
      <c r="O9" s="18" t="s">
        <v>67</v>
      </c>
      <c r="P9" s="18" t="s">
        <v>68</v>
      </c>
      <c r="Q9" s="18" t="s">
        <v>69</v>
      </c>
      <c r="R9" s="18" t="s">
        <v>70</v>
      </c>
      <c r="T9" s="18" t="s">
        <v>59</v>
      </c>
      <c r="U9" s="66" t="s">
        <v>67</v>
      </c>
      <c r="V9" s="66" t="s">
        <v>68</v>
      </c>
      <c r="W9" s="66" t="s">
        <v>97</v>
      </c>
      <c r="X9" s="66" t="s">
        <v>69</v>
      </c>
      <c r="Y9" s="66" t="s">
        <v>98</v>
      </c>
      <c r="Z9" s="66" t="s">
        <v>99</v>
      </c>
      <c r="AA9" s="66" t="s">
        <v>100</v>
      </c>
    </row>
    <row r="10" spans="1:27" x14ac:dyDescent="0.2">
      <c r="A10" s="3" t="s">
        <v>8</v>
      </c>
      <c r="B10" s="88">
        <v>2027</v>
      </c>
      <c r="C10" s="2"/>
      <c r="D10" s="15"/>
      <c r="E10" s="15"/>
      <c r="F10" s="12"/>
      <c r="H10" s="12"/>
      <c r="I10" s="12"/>
      <c r="J10" s="12"/>
      <c r="K10" s="12"/>
      <c r="L10" s="12"/>
      <c r="N10" s="13" t="s">
        <v>96</v>
      </c>
      <c r="O10" s="57"/>
      <c r="T10" s="13" t="s">
        <v>96</v>
      </c>
    </row>
    <row r="11" spans="1:27" x14ac:dyDescent="0.2">
      <c r="A11" s="5" t="s">
        <v>53</v>
      </c>
      <c r="B11" s="67">
        <v>4800</v>
      </c>
      <c r="C11" s="12"/>
      <c r="D11" s="15"/>
      <c r="E11" s="15"/>
      <c r="J11" s="12"/>
      <c r="K11" s="12"/>
      <c r="L11" s="12"/>
      <c r="N11" s="13" t="s">
        <v>60</v>
      </c>
      <c r="O11" s="57">
        <f>F87</f>
        <v>14884.545070288346</v>
      </c>
      <c r="P11" s="63">
        <f>(O11*W11)/1000</f>
        <v>1873.2915698659483</v>
      </c>
      <c r="T11" s="13" t="s">
        <v>60</v>
      </c>
      <c r="U11" s="84">
        <v>21657.481003346671</v>
      </c>
      <c r="V11" s="85">
        <v>2725.6981249017977</v>
      </c>
      <c r="W11" s="63">
        <f>(V11*1000)/U11</f>
        <v>125.85480852923767</v>
      </c>
      <c r="X11" s="63"/>
      <c r="Y11" s="63"/>
      <c r="Z11" s="63"/>
      <c r="AA11" s="63"/>
    </row>
    <row r="12" spans="1:27" x14ac:dyDescent="0.2">
      <c r="A12" s="5" t="s">
        <v>94</v>
      </c>
      <c r="B12" s="67">
        <v>3</v>
      </c>
      <c r="C12" s="12"/>
      <c r="D12" s="15"/>
      <c r="E12" s="15"/>
      <c r="J12" s="12"/>
      <c r="K12" s="12"/>
      <c r="L12" s="12"/>
      <c r="N12" s="13" t="s">
        <v>61</v>
      </c>
      <c r="O12" s="57">
        <f>F89</f>
        <v>1730.9663669951567</v>
      </c>
      <c r="P12" s="63">
        <f t="shared" ref="P12:P14" si="0">(O12*W12)/1000</f>
        <v>83.187310246606742</v>
      </c>
      <c r="T12" s="13" t="s">
        <v>61</v>
      </c>
      <c r="U12" s="84">
        <v>13072.606100943673</v>
      </c>
      <c r="V12" s="85">
        <v>628.24729595334088</v>
      </c>
      <c r="W12" s="63">
        <f t="shared" ref="W12" si="1">(V12*1000)/U12</f>
        <v>48.058305367893666</v>
      </c>
      <c r="X12" s="63"/>
      <c r="Y12" s="63"/>
      <c r="Z12" s="63"/>
      <c r="AA12" s="63"/>
    </row>
    <row r="13" spans="1:27" x14ac:dyDescent="0.2">
      <c r="A13" s="7" t="s">
        <v>52</v>
      </c>
      <c r="B13" s="68">
        <v>0.88</v>
      </c>
      <c r="C13" s="4" t="str">
        <f>IF(B13&lt;100,"","Error, entry must below 100 percent")</f>
        <v/>
      </c>
      <c r="D13" s="15"/>
      <c r="E13" s="15"/>
      <c r="F13" s="12"/>
      <c r="H13" s="12"/>
      <c r="I13" s="12"/>
      <c r="J13" s="12"/>
      <c r="K13" s="12"/>
      <c r="L13" s="12"/>
      <c r="N13" s="13" t="s">
        <v>91</v>
      </c>
      <c r="O13" s="57">
        <f>G90</f>
        <v>8265.8745182270832</v>
      </c>
      <c r="P13" s="63">
        <f t="shared" si="0"/>
        <v>427.90658668532859</v>
      </c>
      <c r="Q13" s="63">
        <f>(O13*Y13)/1000</f>
        <v>1444.9038057695682</v>
      </c>
      <c r="R13" s="63">
        <f>(O13*AA13)/1000</f>
        <v>801.68326515720105</v>
      </c>
      <c r="T13" s="13" t="s">
        <v>91</v>
      </c>
      <c r="U13" s="84">
        <v>10738.987379987648</v>
      </c>
      <c r="V13" s="85">
        <v>555.93433267033902</v>
      </c>
      <c r="W13" s="63">
        <f>(V13*1000)/$U13</f>
        <v>51.767854174625029</v>
      </c>
      <c r="X13" s="85">
        <v>1877.2125927195489</v>
      </c>
      <c r="Y13" s="63">
        <f>(X13*1000)/$U13</f>
        <v>174.80350113994714</v>
      </c>
      <c r="Z13" s="85">
        <v>1041.5433295395637</v>
      </c>
      <c r="AA13" s="63">
        <f>(Z13*1000)/$U13</f>
        <v>96.98710806574779</v>
      </c>
    </row>
    <row r="14" spans="1:27" x14ac:dyDescent="0.2">
      <c r="A14" s="7" t="s">
        <v>9</v>
      </c>
      <c r="B14" s="69">
        <v>9225</v>
      </c>
      <c r="C14" s="12"/>
      <c r="D14" s="15"/>
      <c r="E14" s="15"/>
      <c r="F14" s="12"/>
      <c r="H14" s="12"/>
      <c r="I14" s="12"/>
      <c r="J14" s="12"/>
      <c r="K14" s="12"/>
      <c r="L14" s="12"/>
      <c r="N14" s="27" t="s">
        <v>92</v>
      </c>
      <c r="O14" s="60">
        <f>I90</f>
        <v>5230.9528885108393</v>
      </c>
      <c r="P14" s="63">
        <f t="shared" si="0"/>
        <v>261.12532013492347</v>
      </c>
      <c r="Q14" s="63">
        <f>(O14*Y14)/1000</f>
        <v>871.34328421031489</v>
      </c>
      <c r="R14" s="63">
        <f>(O14*AA14)/1000</f>
        <v>499.01282971409029</v>
      </c>
      <c r="T14" s="27" t="s">
        <v>92</v>
      </c>
      <c r="U14" s="84">
        <v>7033.2291503659517</v>
      </c>
      <c r="V14" s="85">
        <v>351.09362531353634</v>
      </c>
      <c r="W14" s="63">
        <f>(V14*1000)/$U14</f>
        <v>49.919264367387811</v>
      </c>
      <c r="X14" s="85">
        <v>1171.5565246140509</v>
      </c>
      <c r="Y14" s="63">
        <f>(X14*1000)/$U14</f>
        <v>166.5744851428725</v>
      </c>
      <c r="Z14" s="85">
        <v>670.94306814735671</v>
      </c>
      <c r="AA14" s="63">
        <f>(Z14*1000)/$U14</f>
        <v>95.396162104635295</v>
      </c>
    </row>
    <row r="15" spans="1:27" ht="12.75" thickBot="1" x14ac:dyDescent="0.25">
      <c r="A15" s="7" t="s">
        <v>10</v>
      </c>
      <c r="B15" s="69">
        <v>48</v>
      </c>
      <c r="C15" s="12"/>
      <c r="D15" s="15"/>
      <c r="E15" s="15"/>
      <c r="F15" s="12"/>
      <c r="H15" s="12"/>
      <c r="I15" s="12"/>
      <c r="J15" s="12"/>
      <c r="K15" s="12"/>
      <c r="L15" s="12"/>
      <c r="N15" s="36" t="s">
        <v>63</v>
      </c>
      <c r="O15" s="61">
        <f>SUM(O11:O14)</f>
        <v>30112.338844021426</v>
      </c>
      <c r="P15" s="65">
        <f t="shared" ref="P15:R15" si="2">SUM(P11:P14)</f>
        <v>2645.5107869328072</v>
      </c>
      <c r="Q15" s="65">
        <f t="shared" si="2"/>
        <v>2316.2470899798832</v>
      </c>
      <c r="R15" s="65">
        <f t="shared" si="2"/>
        <v>1300.6960948712913</v>
      </c>
      <c r="T15" s="36" t="s">
        <v>63</v>
      </c>
      <c r="U15" s="61">
        <f>SUM(U11:U14)</f>
        <v>52502.303634643948</v>
      </c>
      <c r="V15" s="65">
        <f t="shared" ref="V15" si="3">SUM(V11:V14)</f>
        <v>4260.973378839014</v>
      </c>
      <c r="W15" s="65">
        <f t="shared" ref="W15" si="4">SUM(W11:W14)</f>
        <v>275.60023243914418</v>
      </c>
      <c r="X15" s="65">
        <f t="shared" ref="X15" si="5">SUM(X11:X14)</f>
        <v>3048.7691173335998</v>
      </c>
      <c r="Y15" s="65">
        <f t="shared" ref="Y15" si="6">SUM(Y11:Y14)</f>
        <v>341.37798628281962</v>
      </c>
      <c r="Z15" s="65">
        <f t="shared" ref="Z15" si="7">SUM(Z11:Z14)</f>
        <v>1712.4863976869206</v>
      </c>
      <c r="AA15" s="65">
        <f t="shared" ref="AA15" si="8">SUM(AA11:AA14)</f>
        <v>192.38327017038307</v>
      </c>
    </row>
    <row r="16" spans="1:27" ht="12.75" thickTop="1" x14ac:dyDescent="0.2">
      <c r="A16" s="3" t="s">
        <v>11</v>
      </c>
      <c r="B16" s="70">
        <v>4650</v>
      </c>
      <c r="C16" s="12"/>
      <c r="D16" s="15"/>
      <c r="E16" s="15"/>
      <c r="F16" s="12"/>
      <c r="H16" s="12"/>
      <c r="I16" s="12"/>
      <c r="J16" s="12"/>
      <c r="K16" s="12"/>
      <c r="L16" s="12"/>
    </row>
    <row r="17" spans="1:27" x14ac:dyDescent="0.2">
      <c r="A17" s="7" t="s">
        <v>12</v>
      </c>
      <c r="B17" s="71">
        <v>1</v>
      </c>
      <c r="C17" s="8"/>
      <c r="D17" s="12"/>
      <c r="E17" s="12"/>
      <c r="F17" s="12"/>
      <c r="H17" s="12"/>
      <c r="I17" s="9"/>
      <c r="J17" s="12"/>
      <c r="K17" s="12"/>
      <c r="L17" s="12"/>
      <c r="N17" s="18" t="s">
        <v>64</v>
      </c>
      <c r="T17" s="18" t="s">
        <v>64</v>
      </c>
    </row>
    <row r="18" spans="1:27" x14ac:dyDescent="0.2">
      <c r="A18" s="5" t="s">
        <v>13</v>
      </c>
      <c r="B18" s="68">
        <v>1</v>
      </c>
      <c r="C18" s="12"/>
      <c r="D18" s="15"/>
      <c r="E18" s="15"/>
      <c r="F18" s="12"/>
      <c r="H18" s="12"/>
      <c r="I18" s="12"/>
      <c r="J18" s="12"/>
      <c r="K18" s="12"/>
      <c r="L18" s="12"/>
      <c r="N18" s="13" t="s">
        <v>65</v>
      </c>
      <c r="O18" s="12">
        <f>I81</f>
        <v>229.59305031152152</v>
      </c>
      <c r="P18" s="63">
        <f>(O18*W18)/1000</f>
        <v>20.508192243048317</v>
      </c>
      <c r="Q18" s="63">
        <f>(O18*Y18)/1000</f>
        <v>20.508192243048317</v>
      </c>
      <c r="R18" s="63">
        <f t="shared" ref="R18:R20" si="9">(O18*AA18)/1000</f>
        <v>14.12561524036964</v>
      </c>
      <c r="T18" s="13" t="s">
        <v>65</v>
      </c>
      <c r="U18" s="84">
        <v>688.77915093456443</v>
      </c>
      <c r="V18" s="85">
        <v>61.52457672914494</v>
      </c>
      <c r="W18" s="63">
        <f t="shared" ref="W18:W20" si="10">(V18*1000)/$U18</f>
        <v>89.324098509174988</v>
      </c>
      <c r="X18" s="85">
        <v>61.52457672914494</v>
      </c>
      <c r="Y18" s="63">
        <f t="shared" ref="Y18:Y20" si="11">(X18*1000)/$U18</f>
        <v>89.324098509174988</v>
      </c>
      <c r="Z18" s="85">
        <v>1041.5433295395637</v>
      </c>
      <c r="AA18" s="63">
        <v>61.52457672914494</v>
      </c>
    </row>
    <row r="19" spans="1:27" x14ac:dyDescent="0.2">
      <c r="A19" s="3" t="s">
        <v>14</v>
      </c>
      <c r="B19" s="72">
        <v>57</v>
      </c>
      <c r="C19" s="12"/>
      <c r="D19" s="15"/>
      <c r="E19" s="15"/>
      <c r="F19" s="12"/>
      <c r="H19" s="12"/>
      <c r="I19" s="12"/>
      <c r="J19" s="12"/>
      <c r="K19" s="12"/>
      <c r="L19" s="12"/>
      <c r="N19" s="13" t="s">
        <v>66</v>
      </c>
      <c r="O19" s="64">
        <v>2085.0227960534035</v>
      </c>
      <c r="P19" s="63">
        <f t="shared" ref="P19:P20" si="12">(O19*W19)/1000</f>
        <v>170.73668281171086</v>
      </c>
      <c r="Q19" s="63">
        <f t="shared" ref="Q19:Q20" si="13">(O19*Y19)/1000</f>
        <v>768.99017074109656</v>
      </c>
      <c r="R19" s="63">
        <f t="shared" si="9"/>
        <v>894.8530477105918</v>
      </c>
      <c r="T19" s="13" t="s">
        <v>66</v>
      </c>
      <c r="U19" s="84">
        <v>2085.0227960534035</v>
      </c>
      <c r="V19" s="85">
        <v>170.73668281171086</v>
      </c>
      <c r="W19" s="63">
        <f t="shared" si="10"/>
        <v>81.887201969631519</v>
      </c>
      <c r="X19" s="85">
        <v>768.99017074109656</v>
      </c>
      <c r="Y19" s="63">
        <f t="shared" si="11"/>
        <v>368.81619337527883</v>
      </c>
      <c r="Z19" s="85">
        <v>1041.5433295395637</v>
      </c>
      <c r="AA19" s="63">
        <v>429.18142161534047</v>
      </c>
    </row>
    <row r="20" spans="1:27" x14ac:dyDescent="0.2">
      <c r="A20" s="3" t="s">
        <v>15</v>
      </c>
      <c r="B20" s="73">
        <v>3.18</v>
      </c>
      <c r="C20" s="12"/>
      <c r="D20" s="15"/>
      <c r="E20" s="15"/>
      <c r="F20" s="12"/>
      <c r="H20" s="12"/>
      <c r="I20" s="12"/>
      <c r="J20" s="12"/>
      <c r="K20" s="12"/>
      <c r="L20" s="12"/>
      <c r="N20" s="13" t="s">
        <v>62</v>
      </c>
      <c r="O20" s="64">
        <v>492.65223847453433</v>
      </c>
      <c r="P20" s="63">
        <f t="shared" si="12"/>
        <v>24.577543842693746</v>
      </c>
      <c r="Q20" s="63">
        <f t="shared" si="13"/>
        <v>82.017842657512034</v>
      </c>
      <c r="R20" s="63">
        <f t="shared" si="9"/>
        <v>23.139890260074612</v>
      </c>
      <c r="T20" s="13" t="s">
        <v>62</v>
      </c>
      <c r="U20" s="84">
        <v>492.65223847453433</v>
      </c>
      <c r="V20" s="85">
        <v>24.577543842693746</v>
      </c>
      <c r="W20" s="63">
        <f t="shared" si="10"/>
        <v>49.888221189852942</v>
      </c>
      <c r="X20" s="85">
        <v>82.017842657512034</v>
      </c>
      <c r="Y20" s="63">
        <f t="shared" si="11"/>
        <v>166.48222874511839</v>
      </c>
      <c r="Z20" s="85">
        <v>1041.5433295395637</v>
      </c>
      <c r="AA20" s="63">
        <v>46.970029673925325</v>
      </c>
    </row>
    <row r="21" spans="1:27" ht="12.75" thickBot="1" x14ac:dyDescent="0.25">
      <c r="A21" s="7" t="s">
        <v>16</v>
      </c>
      <c r="B21" s="74">
        <v>2026</v>
      </c>
      <c r="C21" s="2" t="str">
        <f>IF(B21&gt;2030,"     **Error - Money Value (Dollar Year) Exceeds 2030 - please revise**",IF(B21&lt;2002,"     **Error - Money Value (Dollar Year) is Below 2002 - please revise**",""))</f>
        <v/>
      </c>
      <c r="D21" s="15"/>
      <c r="E21" s="15"/>
      <c r="F21" s="12"/>
      <c r="H21" s="12"/>
      <c r="I21" s="12"/>
      <c r="J21" s="12"/>
      <c r="K21" s="12"/>
      <c r="L21" s="12"/>
      <c r="N21" s="36" t="s">
        <v>63</v>
      </c>
      <c r="O21" s="61">
        <f>SUM(O18:O20)</f>
        <v>2807.2680848394593</v>
      </c>
      <c r="P21" s="65">
        <f>SUM(P18:P20)</f>
        <v>215.82241889745293</v>
      </c>
      <c r="Q21" s="65">
        <f t="shared" ref="Q21:R21" si="14">SUM(Q18:Q20)</f>
        <v>871.51620564165694</v>
      </c>
      <c r="R21" s="65">
        <f t="shared" si="14"/>
        <v>932.11855321103599</v>
      </c>
      <c r="T21" s="36" t="s">
        <v>63</v>
      </c>
      <c r="U21" s="61">
        <f>SUM(U18:U20)</f>
        <v>3266.4541854625022</v>
      </c>
      <c r="V21" s="65">
        <f>SUM(V18:V20)</f>
        <v>256.83880338354953</v>
      </c>
      <c r="W21" s="65">
        <f t="shared" ref="W21:AA21" si="15">SUM(W18:W20)</f>
        <v>221.09952166865943</v>
      </c>
      <c r="X21" s="65">
        <f t="shared" si="15"/>
        <v>912.53259012775345</v>
      </c>
      <c r="Y21" s="65">
        <f t="shared" si="15"/>
        <v>624.62252062957214</v>
      </c>
      <c r="Z21" s="65">
        <f t="shared" si="15"/>
        <v>3124.6299886186912</v>
      </c>
      <c r="AA21" s="65">
        <f t="shared" si="15"/>
        <v>537.67602801841076</v>
      </c>
    </row>
    <row r="22" spans="1:27" ht="12.75" thickTop="1" x14ac:dyDescent="0.2">
      <c r="A22" s="3" t="s">
        <v>56</v>
      </c>
      <c r="B22" s="10">
        <f>B26*B16</f>
        <v>22320000000</v>
      </c>
      <c r="C22" s="12"/>
      <c r="D22" s="15"/>
      <c r="E22" s="15"/>
      <c r="F22" s="12"/>
      <c r="H22" s="12"/>
      <c r="I22" s="12"/>
      <c r="J22" s="12"/>
      <c r="K22" s="12"/>
      <c r="L22" s="12"/>
    </row>
    <row r="23" spans="1:27" x14ac:dyDescent="0.2">
      <c r="A23" s="3" t="s">
        <v>57</v>
      </c>
      <c r="B23" s="10">
        <f>G54</f>
        <v>18855138627.987015</v>
      </c>
      <c r="C23" s="12"/>
      <c r="D23" s="15"/>
      <c r="E23" s="15"/>
      <c r="F23" s="12"/>
      <c r="H23" s="12"/>
      <c r="I23" s="12"/>
      <c r="J23" s="12"/>
      <c r="K23" s="12"/>
      <c r="L23" s="12"/>
    </row>
    <row r="24" spans="1:27" x14ac:dyDescent="0.2">
      <c r="A24" s="3" t="s">
        <v>58</v>
      </c>
      <c r="B24" s="10">
        <f>B73</f>
        <v>732612787.20000005</v>
      </c>
      <c r="C24" s="12"/>
      <c r="D24" s="15"/>
      <c r="E24" s="15"/>
      <c r="F24" s="12"/>
      <c r="H24" s="12"/>
      <c r="I24" s="12"/>
      <c r="J24" s="12"/>
      <c r="K24" s="12"/>
      <c r="L24" s="12"/>
    </row>
    <row r="25" spans="1:27" x14ac:dyDescent="0.2">
      <c r="A25" s="3" t="s">
        <v>57</v>
      </c>
      <c r="B25" s="10">
        <f>G73</f>
        <v>695174713.73876262</v>
      </c>
      <c r="C25" s="12"/>
      <c r="D25" s="15"/>
      <c r="E25" s="15"/>
      <c r="F25" s="12"/>
      <c r="H25" s="12"/>
      <c r="I25" s="12"/>
      <c r="J25" s="12"/>
      <c r="K25" s="12"/>
      <c r="L25" s="12"/>
    </row>
    <row r="26" spans="1:27" x14ac:dyDescent="0.2">
      <c r="A26" s="5" t="s">
        <v>54</v>
      </c>
      <c r="B26" s="6">
        <f>B11*1000</f>
        <v>4800000</v>
      </c>
      <c r="C26" s="12"/>
      <c r="D26" s="15"/>
      <c r="E26" s="15"/>
      <c r="F26" s="12"/>
      <c r="H26" s="12"/>
      <c r="I26" s="12"/>
      <c r="J26" s="12"/>
      <c r="K26" s="12"/>
      <c r="L26" s="12"/>
    </row>
    <row r="27" spans="1:27" x14ac:dyDescent="0.2">
      <c r="A27" s="7" t="s">
        <v>55</v>
      </c>
      <c r="B27" s="6">
        <f>B11*B13*8760</f>
        <v>37002240</v>
      </c>
      <c r="C27" s="4"/>
      <c r="D27" s="15"/>
      <c r="E27" s="15"/>
      <c r="F27" s="12"/>
      <c r="H27" s="12"/>
      <c r="I27" s="12"/>
      <c r="J27" s="12"/>
      <c r="K27" s="12"/>
      <c r="L27" s="12"/>
    </row>
    <row r="28" spans="1:27" x14ac:dyDescent="0.2">
      <c r="A28" s="7" t="s">
        <v>105</v>
      </c>
      <c r="B28" s="75">
        <v>0.14349565644470091</v>
      </c>
      <c r="C28" s="12"/>
      <c r="D28" s="15"/>
      <c r="E28" s="15"/>
      <c r="F28" s="12"/>
      <c r="H28" s="12"/>
      <c r="I28" s="12"/>
      <c r="J28" s="12"/>
      <c r="K28" s="12"/>
      <c r="L28" s="12"/>
    </row>
    <row r="30" spans="1:27" ht="15" x14ac:dyDescent="0.25">
      <c r="A30" s="39" t="s">
        <v>17</v>
      </c>
      <c r="B30" s="16"/>
      <c r="C30" s="16"/>
      <c r="D30" s="16"/>
      <c r="E30" s="16"/>
      <c r="F30" s="16"/>
      <c r="G30" s="46"/>
      <c r="H30" s="16"/>
      <c r="I30" s="16" t="s">
        <v>80</v>
      </c>
      <c r="J30" s="16"/>
      <c r="K30" s="16"/>
      <c r="L30" s="16"/>
      <c r="M30" s="18"/>
    </row>
    <row r="31" spans="1:27" ht="24" x14ac:dyDescent="0.2">
      <c r="A31" s="54" t="s">
        <v>20</v>
      </c>
      <c r="B31" s="20" t="s">
        <v>0</v>
      </c>
      <c r="C31" s="20" t="s">
        <v>18</v>
      </c>
      <c r="D31" s="20" t="s">
        <v>19</v>
      </c>
      <c r="E31" s="20"/>
      <c r="F31" s="20" t="s">
        <v>1</v>
      </c>
      <c r="G31" s="49" t="s">
        <v>79</v>
      </c>
      <c r="H31" s="20"/>
      <c r="I31" s="20" t="s">
        <v>2</v>
      </c>
      <c r="J31" s="20" t="s">
        <v>3</v>
      </c>
      <c r="K31" s="20" t="s">
        <v>4</v>
      </c>
      <c r="L31" s="20" t="s">
        <v>5</v>
      </c>
      <c r="M31" s="21"/>
    </row>
    <row r="32" spans="1:27" x14ac:dyDescent="0.2">
      <c r="A32" s="13" t="s">
        <v>21</v>
      </c>
      <c r="B32" s="22">
        <f>$B$22*D32</f>
        <v>3062082644.6280994</v>
      </c>
      <c r="C32" s="23">
        <f>B32/$B$26</f>
        <v>637.93388429752076</v>
      </c>
      <c r="D32" s="76">
        <v>0.13719008264462812</v>
      </c>
      <c r="E32" s="77"/>
      <c r="F32" s="78">
        <v>0.8</v>
      </c>
      <c r="G32" s="26">
        <f>B32*F32</f>
        <v>2449666115.7024798</v>
      </c>
      <c r="H32" s="23"/>
      <c r="I32" s="78">
        <v>0.8</v>
      </c>
      <c r="J32" s="78">
        <v>0.2</v>
      </c>
      <c r="K32" s="78">
        <v>0</v>
      </c>
      <c r="L32" s="25">
        <f>SUM(I32:K32)</f>
        <v>1</v>
      </c>
    </row>
    <row r="33" spans="1:12" x14ac:dyDescent="0.2">
      <c r="A33" s="13" t="s">
        <v>22</v>
      </c>
      <c r="B33" s="26">
        <f t="shared" ref="B33:B34" si="16">$B$22*D33</f>
        <v>1871548496.1505473</v>
      </c>
      <c r="C33" s="23">
        <f>B33/$B$26</f>
        <v>389.9059366980307</v>
      </c>
      <c r="D33" s="76">
        <v>8.3850739074845304E-2</v>
      </c>
      <c r="E33" s="77"/>
      <c r="F33" s="78">
        <v>1</v>
      </c>
      <c r="G33" s="26">
        <f t="shared" ref="G33:G34" si="17">B33*F33</f>
        <v>1871548496.1505473</v>
      </c>
      <c r="H33" s="26"/>
      <c r="I33" s="78">
        <v>1</v>
      </c>
      <c r="J33" s="78">
        <v>0</v>
      </c>
      <c r="K33" s="78">
        <v>0</v>
      </c>
      <c r="L33" s="25">
        <f>SUM(I33:K33)</f>
        <v>1</v>
      </c>
    </row>
    <row r="34" spans="1:12" x14ac:dyDescent="0.2">
      <c r="A34" s="27" t="s">
        <v>23</v>
      </c>
      <c r="B34" s="28">
        <f t="shared" si="16"/>
        <v>5248715966.6593704</v>
      </c>
      <c r="C34" s="29">
        <f>B34/$B$26</f>
        <v>1093.4824930540356</v>
      </c>
      <c r="D34" s="79">
        <v>0.23515752538796464</v>
      </c>
      <c r="E34" s="80"/>
      <c r="F34" s="81">
        <v>0.6</v>
      </c>
      <c r="G34" s="28">
        <f t="shared" si="17"/>
        <v>3149229579.9956222</v>
      </c>
      <c r="H34" s="23"/>
      <c r="I34" s="78">
        <v>0.6</v>
      </c>
      <c r="J34" s="78">
        <v>0.35</v>
      </c>
      <c r="K34" s="78">
        <v>0.05</v>
      </c>
      <c r="L34" s="25">
        <f>SUM(I34:K34)</f>
        <v>1</v>
      </c>
    </row>
    <row r="35" spans="1:12" x14ac:dyDescent="0.2">
      <c r="A35" s="13" t="s">
        <v>24</v>
      </c>
      <c r="B35" s="22">
        <f>SUM(B32:B34)</f>
        <v>10182347107.438017</v>
      </c>
      <c r="C35" s="22">
        <f>SUM(C32:C34)</f>
        <v>2121.322314049587</v>
      </c>
      <c r="D35" s="24">
        <f>SUM(D32:D34)</f>
        <v>0.45619834710743806</v>
      </c>
      <c r="E35" s="24"/>
      <c r="F35" s="25"/>
      <c r="G35" s="26">
        <f>SUM(G32:G34)</f>
        <v>7470444191.84865</v>
      </c>
      <c r="H35" s="25"/>
      <c r="I35" s="78"/>
      <c r="J35" s="78"/>
      <c r="K35" s="78"/>
      <c r="L35" s="25"/>
    </row>
    <row r="36" spans="1:12" x14ac:dyDescent="0.2">
      <c r="D36" s="24"/>
      <c r="E36" s="24"/>
      <c r="F36" s="25"/>
      <c r="H36" s="25"/>
      <c r="I36" s="78"/>
      <c r="J36" s="78"/>
      <c r="K36" s="78"/>
      <c r="L36" s="25"/>
    </row>
    <row r="37" spans="1:12" x14ac:dyDescent="0.2">
      <c r="A37" s="18" t="s">
        <v>25</v>
      </c>
      <c r="D37" s="24"/>
      <c r="E37" s="24"/>
      <c r="I37" s="78"/>
      <c r="J37" s="78"/>
      <c r="K37" s="78"/>
      <c r="L37" s="25"/>
    </row>
    <row r="38" spans="1:12" x14ac:dyDescent="0.2">
      <c r="A38" s="13" t="s">
        <v>26</v>
      </c>
      <c r="B38" s="26">
        <f t="shared" ref="B38:B39" si="18">$B$22*D38</f>
        <v>5120687603.3057852</v>
      </c>
      <c r="C38" s="23">
        <f>B38/$B$26</f>
        <v>1066.8099173553719</v>
      </c>
      <c r="D38" s="76">
        <v>0.2294214876033058</v>
      </c>
      <c r="E38" s="77"/>
      <c r="F38" s="78">
        <v>1</v>
      </c>
      <c r="G38" s="26">
        <f t="shared" ref="G38:G39" si="19">B38*F38</f>
        <v>5120687603.3057852</v>
      </c>
      <c r="H38" s="26"/>
      <c r="I38" s="78">
        <v>1</v>
      </c>
      <c r="J38" s="78">
        <v>0</v>
      </c>
      <c r="K38" s="78">
        <v>0</v>
      </c>
      <c r="L38" s="25">
        <f>SUM(I38:K38)</f>
        <v>1</v>
      </c>
    </row>
    <row r="39" spans="1:12" x14ac:dyDescent="0.2">
      <c r="A39" s="27" t="s">
        <v>27</v>
      </c>
      <c r="B39" s="28">
        <f t="shared" si="18"/>
        <v>154948760.33057854</v>
      </c>
      <c r="C39" s="29">
        <f>B39/$B$26</f>
        <v>32.280991735537192</v>
      </c>
      <c r="D39" s="79">
        <v>6.9421487603305793E-3</v>
      </c>
      <c r="E39" s="80"/>
      <c r="F39" s="81">
        <v>1</v>
      </c>
      <c r="G39" s="28">
        <f t="shared" si="19"/>
        <v>154948760.33057854</v>
      </c>
      <c r="H39" s="26"/>
      <c r="I39" s="78">
        <v>1</v>
      </c>
      <c r="J39" s="78">
        <v>0</v>
      </c>
      <c r="K39" s="78">
        <v>0</v>
      </c>
      <c r="L39" s="25">
        <f>SUM(I39:K39)</f>
        <v>1</v>
      </c>
    </row>
    <row r="40" spans="1:12" x14ac:dyDescent="0.2">
      <c r="A40" s="31" t="s">
        <v>28</v>
      </c>
      <c r="B40" s="32">
        <f>SUM(B38:B39)</f>
        <v>5275636363.636364</v>
      </c>
      <c r="C40" s="32">
        <f>SUM(C38:C39)</f>
        <v>1099.090909090909</v>
      </c>
      <c r="D40" s="33">
        <f>SUM(D38:D39)</f>
        <v>0.23636363636363639</v>
      </c>
      <c r="E40" s="30"/>
      <c r="F40" s="44"/>
      <c r="G40" s="28">
        <f>SUM(G38:G39)</f>
        <v>5275636363.636364</v>
      </c>
      <c r="H40" s="25"/>
      <c r="I40" s="78"/>
      <c r="J40" s="78"/>
      <c r="K40" s="78"/>
      <c r="L40" s="25"/>
    </row>
    <row r="41" spans="1:12" x14ac:dyDescent="0.2">
      <c r="A41" s="13" t="s">
        <v>29</v>
      </c>
      <c r="B41" s="26">
        <f>SUM(B40,B35)</f>
        <v>15457983471.074381</v>
      </c>
      <c r="C41" s="23">
        <f>SUM(C40,C35)</f>
        <v>3220.413223140496</v>
      </c>
      <c r="D41" s="24">
        <f>SUM(D40,D35)</f>
        <v>0.69256198347107445</v>
      </c>
      <c r="E41" s="24"/>
      <c r="F41" s="25"/>
      <c r="G41" s="26">
        <f>SUM(G40,G35)</f>
        <v>12746080555.485014</v>
      </c>
      <c r="H41" s="25"/>
      <c r="I41" s="78"/>
      <c r="J41" s="78"/>
      <c r="K41" s="78"/>
      <c r="L41" s="25"/>
    </row>
    <row r="42" spans="1:12" x14ac:dyDescent="0.2">
      <c r="D42" s="24"/>
      <c r="E42" s="24"/>
      <c r="I42" s="78"/>
      <c r="J42" s="78"/>
      <c r="K42" s="78"/>
      <c r="L42" s="25"/>
    </row>
    <row r="43" spans="1:12" x14ac:dyDescent="0.2">
      <c r="A43" s="18" t="s">
        <v>30</v>
      </c>
      <c r="D43" s="24"/>
      <c r="E43" s="24"/>
      <c r="I43" s="78"/>
      <c r="J43" s="78"/>
      <c r="K43" s="78"/>
      <c r="L43" s="25"/>
    </row>
    <row r="44" spans="1:12" x14ac:dyDescent="0.2">
      <c r="A44" s="13" t="s">
        <v>31</v>
      </c>
      <c r="B44" s="26">
        <f t="shared" ref="B44:B51" si="20">$B$22*D44</f>
        <v>1586380165.2892566</v>
      </c>
      <c r="C44" s="23">
        <f t="shared" ref="C44:C51" si="21">B44/$B$26</f>
        <v>330.49586776859513</v>
      </c>
      <c r="D44" s="76">
        <v>7.1074380165289275E-2</v>
      </c>
      <c r="E44" s="77"/>
      <c r="F44" s="78">
        <v>0.7</v>
      </c>
      <c r="G44" s="26">
        <f t="shared" ref="G44:G51" si="22">B44*F44</f>
        <v>1110466115.7024796</v>
      </c>
      <c r="H44" s="26"/>
      <c r="I44" s="78">
        <v>0.7</v>
      </c>
      <c r="J44" s="78">
        <v>0.3</v>
      </c>
      <c r="K44" s="78">
        <v>0</v>
      </c>
      <c r="L44" s="25">
        <f t="shared" ref="L44:L51" si="23">SUM(I44:K44)</f>
        <v>1</v>
      </c>
    </row>
    <row r="45" spans="1:12" x14ac:dyDescent="0.2">
      <c r="A45" s="13" t="s">
        <v>32</v>
      </c>
      <c r="B45" s="26">
        <f t="shared" si="20"/>
        <v>259506474.61866114</v>
      </c>
      <c r="C45" s="23">
        <f t="shared" si="21"/>
        <v>54.06384887888774</v>
      </c>
      <c r="D45" s="76">
        <v>1.1626634167502739E-2</v>
      </c>
      <c r="E45" s="77"/>
      <c r="F45" s="78">
        <v>1</v>
      </c>
      <c r="G45" s="26">
        <f t="shared" si="22"/>
        <v>259506474.61866114</v>
      </c>
      <c r="H45" s="26"/>
      <c r="I45" s="78">
        <v>1</v>
      </c>
      <c r="J45" s="78">
        <v>0</v>
      </c>
      <c r="K45" s="78">
        <v>0</v>
      </c>
      <c r="L45" s="25">
        <f t="shared" si="23"/>
        <v>1</v>
      </c>
    </row>
    <row r="46" spans="1:12" x14ac:dyDescent="0.2">
      <c r="A46" s="13" t="s">
        <v>33</v>
      </c>
      <c r="B46" s="26">
        <f t="shared" si="20"/>
        <v>0</v>
      </c>
      <c r="C46" s="23">
        <f t="shared" si="21"/>
        <v>0</v>
      </c>
      <c r="D46" s="76">
        <v>0</v>
      </c>
      <c r="E46" s="77"/>
      <c r="F46" s="78">
        <v>1</v>
      </c>
      <c r="G46" s="26">
        <f t="shared" si="22"/>
        <v>0</v>
      </c>
      <c r="H46" s="26"/>
      <c r="I46" s="78">
        <v>1</v>
      </c>
      <c r="J46" s="78">
        <v>0</v>
      </c>
      <c r="K46" s="78">
        <v>0</v>
      </c>
      <c r="L46" s="25">
        <f t="shared" si="23"/>
        <v>1</v>
      </c>
    </row>
    <row r="47" spans="1:12" x14ac:dyDescent="0.2">
      <c r="A47" s="13" t="s">
        <v>34</v>
      </c>
      <c r="B47" s="26">
        <f t="shared" si="20"/>
        <v>28990439.175928663</v>
      </c>
      <c r="C47" s="23">
        <f t="shared" si="21"/>
        <v>6.0396748283184714</v>
      </c>
      <c r="D47" s="76">
        <v>1.2988548017889186E-3</v>
      </c>
      <c r="E47" s="77"/>
      <c r="F47" s="78">
        <v>0.4</v>
      </c>
      <c r="G47" s="26">
        <f t="shared" si="22"/>
        <v>11596175.670371465</v>
      </c>
      <c r="H47" s="26"/>
      <c r="I47" s="78">
        <v>0.4</v>
      </c>
      <c r="J47" s="78">
        <v>0.5</v>
      </c>
      <c r="K47" s="78">
        <v>0.1</v>
      </c>
      <c r="L47" s="25">
        <f t="shared" si="23"/>
        <v>1</v>
      </c>
    </row>
    <row r="48" spans="1:12" x14ac:dyDescent="0.2">
      <c r="A48" s="13" t="s">
        <v>35</v>
      </c>
      <c r="B48" s="26">
        <f t="shared" si="20"/>
        <v>1527352066.1157026</v>
      </c>
      <c r="C48" s="23">
        <f t="shared" si="21"/>
        <v>318.19834710743805</v>
      </c>
      <c r="D48" s="76">
        <v>6.8429752066115707E-2</v>
      </c>
      <c r="E48" s="77"/>
      <c r="F48" s="78">
        <v>1</v>
      </c>
      <c r="G48" s="26">
        <f t="shared" si="22"/>
        <v>1527352066.1157026</v>
      </c>
      <c r="H48" s="26"/>
      <c r="I48" s="78">
        <v>1</v>
      </c>
      <c r="J48" s="78">
        <v>0</v>
      </c>
      <c r="K48" s="78">
        <v>0</v>
      </c>
      <c r="L48" s="25">
        <f t="shared" si="23"/>
        <v>1</v>
      </c>
    </row>
    <row r="49" spans="1:12" x14ac:dyDescent="0.2">
      <c r="A49" s="13" t="s">
        <v>36</v>
      </c>
      <c r="B49" s="26">
        <f t="shared" si="20"/>
        <v>2596501433.312849</v>
      </c>
      <c r="C49" s="23">
        <f t="shared" si="21"/>
        <v>540.93779860684356</v>
      </c>
      <c r="D49" s="76">
        <v>0.11633070937781581</v>
      </c>
      <c r="E49" s="77"/>
      <c r="F49" s="78">
        <v>0.9</v>
      </c>
      <c r="G49" s="26">
        <f t="shared" si="22"/>
        <v>2336851289.981564</v>
      </c>
      <c r="H49" s="26"/>
      <c r="I49" s="78">
        <v>0.9</v>
      </c>
      <c r="J49" s="78">
        <v>0.1</v>
      </c>
      <c r="K49" s="78">
        <v>0</v>
      </c>
      <c r="L49" s="25">
        <f t="shared" si="23"/>
        <v>1</v>
      </c>
    </row>
    <row r="50" spans="1:12" x14ac:dyDescent="0.2">
      <c r="A50" s="13" t="s">
        <v>37</v>
      </c>
      <c r="B50" s="26">
        <f t="shared" si="20"/>
        <v>848528925.61983478</v>
      </c>
      <c r="C50" s="23">
        <f t="shared" si="21"/>
        <v>176.77685950413223</v>
      </c>
      <c r="D50" s="76">
        <v>3.8016528925619839E-2</v>
      </c>
      <c r="E50" s="77"/>
      <c r="F50" s="78">
        <v>1</v>
      </c>
      <c r="G50" s="26">
        <f t="shared" si="22"/>
        <v>848528925.61983478</v>
      </c>
      <c r="H50" s="26"/>
      <c r="I50" s="78">
        <v>1</v>
      </c>
      <c r="J50" s="78">
        <v>0</v>
      </c>
      <c r="K50" s="78">
        <v>0</v>
      </c>
      <c r="L50" s="25">
        <f t="shared" si="23"/>
        <v>1</v>
      </c>
    </row>
    <row r="51" spans="1:12" x14ac:dyDescent="0.2">
      <c r="A51" s="27" t="s">
        <v>38</v>
      </c>
      <c r="B51" s="28">
        <f t="shared" si="20"/>
        <v>14757024.79338843</v>
      </c>
      <c r="C51" s="29">
        <f t="shared" si="21"/>
        <v>3.0743801652892562</v>
      </c>
      <c r="D51" s="79">
        <v>6.6115702479338848E-4</v>
      </c>
      <c r="E51" s="80"/>
      <c r="F51" s="81">
        <v>1</v>
      </c>
      <c r="G51" s="28">
        <f t="shared" si="22"/>
        <v>14757024.79338843</v>
      </c>
      <c r="H51" s="26"/>
      <c r="I51" s="78">
        <v>1</v>
      </c>
      <c r="J51" s="78">
        <v>0</v>
      </c>
      <c r="K51" s="78">
        <v>0</v>
      </c>
      <c r="L51" s="25">
        <f t="shared" si="23"/>
        <v>1</v>
      </c>
    </row>
    <row r="52" spans="1:12" x14ac:dyDescent="0.2">
      <c r="A52" s="13" t="s">
        <v>39</v>
      </c>
      <c r="B52" s="26">
        <f t="shared" ref="B52:C52" si="24">SUM(B44:B51)</f>
        <v>6862016528.925621</v>
      </c>
      <c r="C52" s="23">
        <f t="shared" si="24"/>
        <v>1429.5867768595047</v>
      </c>
      <c r="D52" s="24">
        <f>SUM(D44:D51)</f>
        <v>0.30743801652892572</v>
      </c>
      <c r="E52" s="24"/>
      <c r="G52" s="26">
        <f t="shared" ref="G52" si="25">SUM(G44:G51)</f>
        <v>6109058072.5020027</v>
      </c>
      <c r="I52" s="25"/>
      <c r="J52" s="25"/>
      <c r="K52" s="25"/>
      <c r="L52" s="25"/>
    </row>
    <row r="53" spans="1:12" x14ac:dyDescent="0.2">
      <c r="B53" s="23"/>
      <c r="C53" s="23"/>
      <c r="D53" s="24"/>
      <c r="E53" s="24"/>
      <c r="I53" s="25"/>
      <c r="J53" s="25"/>
      <c r="K53" s="25"/>
      <c r="L53" s="25"/>
    </row>
    <row r="54" spans="1:12" ht="12.75" thickBot="1" x14ac:dyDescent="0.25">
      <c r="A54" s="36" t="s">
        <v>40</v>
      </c>
      <c r="B54" s="50">
        <f>SUM(B52,B41)</f>
        <v>22320000000</v>
      </c>
      <c r="C54" s="51">
        <f t="shared" ref="C54" si="26">SUM(C52,C41)</f>
        <v>4650.0000000000009</v>
      </c>
      <c r="D54" s="52">
        <f>SUM(D52,D41)</f>
        <v>1.0000000000000002</v>
      </c>
      <c r="E54" s="52"/>
      <c r="F54" s="36"/>
      <c r="G54" s="50">
        <f>SUM(G52,G41)</f>
        <v>18855138627.987015</v>
      </c>
      <c r="I54" s="25"/>
      <c r="J54" s="25"/>
      <c r="K54" s="25"/>
      <c r="L54" s="25"/>
    </row>
    <row r="55" spans="1:12" ht="12.75" thickTop="1" x14ac:dyDescent="0.2"/>
    <row r="57" spans="1:12" ht="15" x14ac:dyDescent="0.2">
      <c r="A57" s="40" t="s">
        <v>41</v>
      </c>
      <c r="B57" s="19"/>
      <c r="C57" s="19"/>
      <c r="D57" s="19"/>
      <c r="E57" s="19"/>
      <c r="F57" s="19"/>
      <c r="G57" s="47"/>
      <c r="H57" s="19"/>
      <c r="I57" s="16" t="s">
        <v>80</v>
      </c>
      <c r="J57" s="19"/>
      <c r="K57" s="19"/>
      <c r="L57" s="19"/>
    </row>
    <row r="58" spans="1:12" ht="24.6" customHeight="1" x14ac:dyDescent="0.2">
      <c r="A58" s="54" t="s">
        <v>42</v>
      </c>
      <c r="B58" s="20" t="s">
        <v>0</v>
      </c>
      <c r="C58" s="20" t="s">
        <v>18</v>
      </c>
      <c r="D58" s="20" t="s">
        <v>19</v>
      </c>
      <c r="E58" s="20"/>
      <c r="F58" s="20" t="s">
        <v>1</v>
      </c>
      <c r="G58" s="49" t="s">
        <v>79</v>
      </c>
      <c r="H58" s="20"/>
      <c r="I58" s="20" t="s">
        <v>2</v>
      </c>
      <c r="J58" s="20" t="s">
        <v>3</v>
      </c>
      <c r="K58" s="20" t="s">
        <v>4</v>
      </c>
      <c r="L58" s="20" t="s">
        <v>5</v>
      </c>
    </row>
    <row r="59" spans="1:12" x14ac:dyDescent="0.2">
      <c r="A59" s="13" t="s">
        <v>25</v>
      </c>
      <c r="B59" s="26">
        <f>B11*B28*L81</f>
        <v>66240000</v>
      </c>
      <c r="C59" s="23">
        <f>B59/$B$26</f>
        <v>13.8</v>
      </c>
      <c r="D59" s="76">
        <v>0.59740259740259738</v>
      </c>
      <c r="F59" s="78">
        <v>1</v>
      </c>
      <c r="G59" s="26">
        <f t="shared" ref="G59:G61" si="27">B59*F59</f>
        <v>66240000</v>
      </c>
      <c r="H59" s="25"/>
      <c r="I59" s="78">
        <v>1</v>
      </c>
      <c r="J59" s="78">
        <v>0</v>
      </c>
      <c r="K59" s="78">
        <v>0</v>
      </c>
      <c r="L59" s="25">
        <f t="shared" ref="L59:L61" si="28">SUM(I59:K59)</f>
        <v>1</v>
      </c>
    </row>
    <row r="60" spans="1:12" x14ac:dyDescent="0.2">
      <c r="A60" s="13" t="s">
        <v>43</v>
      </c>
      <c r="B60" s="26">
        <f>((B$26*B$19)-B$59)*(D60/(D$60+D$61))</f>
        <v>129321290.32258062</v>
      </c>
      <c r="C60" s="23">
        <f t="shared" ref="C60:C61" si="29">B60/$B$26</f>
        <v>26.941935483870964</v>
      </c>
      <c r="D60" s="76">
        <v>0.25108225108225107</v>
      </c>
      <c r="F60" s="78">
        <v>0.8</v>
      </c>
      <c r="G60" s="26">
        <f t="shared" si="27"/>
        <v>103457032.25806451</v>
      </c>
      <c r="H60" s="25"/>
      <c r="I60" s="78">
        <v>0.8</v>
      </c>
      <c r="J60" s="78">
        <v>0.2</v>
      </c>
      <c r="K60" s="78">
        <v>0</v>
      </c>
      <c r="L60" s="25">
        <f t="shared" si="28"/>
        <v>1</v>
      </c>
    </row>
    <row r="61" spans="1:12" x14ac:dyDescent="0.2">
      <c r="A61" s="27" t="s">
        <v>44</v>
      </c>
      <c r="B61" s="28">
        <f>((B$26*B$19)-B$59)*(D61/(D$60+D$61))</f>
        <v>78038709.67741935</v>
      </c>
      <c r="C61" s="29">
        <f t="shared" si="29"/>
        <v>16.258064516129032</v>
      </c>
      <c r="D61" s="79">
        <v>0.15151515151515152</v>
      </c>
      <c r="E61" s="27"/>
      <c r="F61" s="81">
        <v>1</v>
      </c>
      <c r="G61" s="28">
        <f t="shared" si="27"/>
        <v>78038709.67741935</v>
      </c>
      <c r="H61" s="25"/>
      <c r="I61" s="78">
        <v>1</v>
      </c>
      <c r="J61" s="78">
        <v>0</v>
      </c>
      <c r="K61" s="78">
        <v>0</v>
      </c>
      <c r="L61" s="25">
        <f t="shared" si="28"/>
        <v>1</v>
      </c>
    </row>
    <row r="62" spans="1:12" x14ac:dyDescent="0.2">
      <c r="A62" s="13" t="s">
        <v>45</v>
      </c>
      <c r="B62" s="22">
        <f>SUM(B59:B61)</f>
        <v>273600000</v>
      </c>
      <c r="C62" s="34">
        <f t="shared" ref="C62:D62" si="30">SUM(C59:C61)</f>
        <v>56.999999999999993</v>
      </c>
      <c r="D62" s="24">
        <f t="shared" si="30"/>
        <v>0.99999999999999989</v>
      </c>
      <c r="G62" s="26">
        <f>SUM(G59:G61)</f>
        <v>247735741.93548387</v>
      </c>
      <c r="I62" s="78"/>
      <c r="J62" s="78"/>
      <c r="K62" s="78"/>
      <c r="L62" s="25"/>
    </row>
    <row r="63" spans="1:12" x14ac:dyDescent="0.2">
      <c r="B63" s="22"/>
      <c r="D63" s="24"/>
      <c r="I63" s="78"/>
      <c r="J63" s="78"/>
      <c r="K63" s="78"/>
      <c r="L63" s="25"/>
    </row>
    <row r="64" spans="1:12" x14ac:dyDescent="0.2">
      <c r="B64" s="22"/>
      <c r="D64" s="24"/>
      <c r="I64" s="78"/>
      <c r="J64" s="78"/>
      <c r="K64" s="78"/>
      <c r="L64" s="25"/>
    </row>
    <row r="65" spans="1:15" ht="24" x14ac:dyDescent="0.2">
      <c r="A65" s="18" t="s">
        <v>46</v>
      </c>
      <c r="B65" s="35" t="s">
        <v>0</v>
      </c>
      <c r="C65" s="20" t="s">
        <v>78</v>
      </c>
      <c r="D65" s="20" t="s">
        <v>19</v>
      </c>
      <c r="E65" s="20"/>
      <c r="F65" s="20" t="s">
        <v>1</v>
      </c>
      <c r="G65" s="49"/>
      <c r="H65" s="20"/>
      <c r="I65" s="78"/>
      <c r="J65" s="78"/>
      <c r="K65" s="78"/>
      <c r="L65" s="25"/>
    </row>
    <row r="66" spans="1:15" x14ac:dyDescent="0.2">
      <c r="A66" s="13" t="s">
        <v>47</v>
      </c>
      <c r="B66" s="26">
        <f>+C66*B$27</f>
        <v>8358866.6754098376</v>
      </c>
      <c r="C66" s="23">
        <f>D66*B$20</f>
        <v>0.22590163934426233</v>
      </c>
      <c r="D66" s="76">
        <v>7.1038251366120228E-2</v>
      </c>
      <c r="F66" s="78">
        <v>1</v>
      </c>
      <c r="G66" s="26">
        <f t="shared" ref="G66:G68" si="31">B66*F66</f>
        <v>8358866.6754098376</v>
      </c>
      <c r="H66" s="25"/>
      <c r="I66" s="78">
        <v>1</v>
      </c>
      <c r="J66" s="78">
        <v>0</v>
      </c>
      <c r="K66" s="78">
        <v>0</v>
      </c>
      <c r="L66" s="25">
        <f t="shared" ref="L66:L68" si="32">SUM(I66:K66)</f>
        <v>1</v>
      </c>
    </row>
    <row r="67" spans="1:15" x14ac:dyDescent="0.2">
      <c r="A67" s="13" t="s">
        <v>48</v>
      </c>
      <c r="B67" s="26">
        <f t="shared" ref="B67:B68" si="33">+C67*B$27</f>
        <v>90018564.196721315</v>
      </c>
      <c r="C67" s="23">
        <f t="shared" ref="C67:C68" si="34">D67*B$20</f>
        <v>2.4327868852459016</v>
      </c>
      <c r="D67" s="76">
        <v>0.76502732240437155</v>
      </c>
      <c r="F67" s="78">
        <v>1</v>
      </c>
      <c r="G67" s="26">
        <f t="shared" si="31"/>
        <v>90018564.196721315</v>
      </c>
      <c r="H67" s="25"/>
      <c r="I67" s="78">
        <v>1</v>
      </c>
      <c r="J67" s="78">
        <v>0</v>
      </c>
      <c r="K67" s="78">
        <v>0</v>
      </c>
      <c r="L67" s="25">
        <f t="shared" si="32"/>
        <v>1</v>
      </c>
    </row>
    <row r="68" spans="1:15" x14ac:dyDescent="0.2">
      <c r="A68" s="27" t="s">
        <v>34</v>
      </c>
      <c r="B68" s="28">
        <f t="shared" si="33"/>
        <v>19289692.327868856</v>
      </c>
      <c r="C68" s="29">
        <f t="shared" si="34"/>
        <v>0.52131147540983613</v>
      </c>
      <c r="D68" s="79">
        <v>0.16393442622950821</v>
      </c>
      <c r="E68" s="27"/>
      <c r="F68" s="81">
        <v>0.4</v>
      </c>
      <c r="G68" s="28">
        <f t="shared" si="31"/>
        <v>7715876.9311475428</v>
      </c>
      <c r="H68" s="25"/>
      <c r="I68" s="78"/>
      <c r="J68" s="78"/>
      <c r="K68" s="78"/>
      <c r="L68" s="25">
        <f t="shared" si="32"/>
        <v>0</v>
      </c>
    </row>
    <row r="69" spans="1:15" x14ac:dyDescent="0.2">
      <c r="A69" s="13" t="s">
        <v>49</v>
      </c>
      <c r="B69" s="22">
        <f>SUM(B66:B68)</f>
        <v>117667123.20000002</v>
      </c>
      <c r="C69" s="34">
        <f t="shared" ref="C69" si="35">SUM(C66:C68)</f>
        <v>3.18</v>
      </c>
      <c r="D69" s="24">
        <f t="shared" ref="D69" si="36">SUM(D66:D68)</f>
        <v>1</v>
      </c>
      <c r="G69" s="26">
        <f>SUM(G66:G68)</f>
        <v>106093307.8032787</v>
      </c>
      <c r="I69" s="78"/>
      <c r="J69" s="78"/>
      <c r="K69" s="78"/>
      <c r="L69" s="25"/>
    </row>
    <row r="70" spans="1:15" x14ac:dyDescent="0.2">
      <c r="B70" s="22"/>
      <c r="C70" s="34"/>
      <c r="D70" s="24"/>
      <c r="I70" s="78"/>
      <c r="J70" s="78"/>
      <c r="K70" s="78"/>
      <c r="L70" s="25"/>
    </row>
    <row r="71" spans="1:15" x14ac:dyDescent="0.2">
      <c r="A71" s="18" t="s">
        <v>50</v>
      </c>
      <c r="B71" s="22"/>
      <c r="D71" s="24"/>
      <c r="I71" s="78"/>
      <c r="J71" s="78"/>
      <c r="K71" s="78"/>
      <c r="L71" s="25"/>
    </row>
    <row r="72" spans="1:15" x14ac:dyDescent="0.2">
      <c r="A72" s="13" t="s">
        <v>77</v>
      </c>
      <c r="B72" s="26">
        <f>B11*B13*8.76*B14*B17</f>
        <v>341345664</v>
      </c>
      <c r="C72" s="23">
        <f>B72/B27</f>
        <v>9.2249999999999996</v>
      </c>
      <c r="D72" s="24"/>
      <c r="F72" s="78">
        <v>1</v>
      </c>
      <c r="G72" s="26">
        <f t="shared" ref="G72" si="37">B72*F72</f>
        <v>341345664</v>
      </c>
      <c r="I72" s="78">
        <v>1</v>
      </c>
      <c r="J72" s="78">
        <v>0</v>
      </c>
      <c r="K72" s="78">
        <v>0</v>
      </c>
      <c r="L72" s="25">
        <f>SUM(I72:K72)</f>
        <v>1</v>
      </c>
    </row>
    <row r="73" spans="1:15" ht="12.75" thickBot="1" x14ac:dyDescent="0.25">
      <c r="A73" s="36" t="s">
        <v>51</v>
      </c>
      <c r="B73" s="53">
        <f>SUM(B72,B69,B62)</f>
        <v>732612787.20000005</v>
      </c>
      <c r="C73" s="36"/>
      <c r="D73" s="52"/>
      <c r="E73" s="36"/>
      <c r="F73" s="36"/>
      <c r="G73" s="50">
        <f>SUM(G72,G69,G62)</f>
        <v>695174713.73876262</v>
      </c>
      <c r="I73" s="25"/>
      <c r="J73" s="25"/>
      <c r="K73" s="25"/>
      <c r="L73" s="25"/>
    </row>
    <row r="74" spans="1:15" ht="12.75" thickTop="1" x14ac:dyDescent="0.2"/>
    <row r="77" spans="1:15" ht="15" x14ac:dyDescent="0.2">
      <c r="A77" s="40" t="s">
        <v>6</v>
      </c>
      <c r="B77" s="19"/>
      <c r="C77" s="19"/>
      <c r="D77" s="19"/>
      <c r="E77" s="19"/>
      <c r="F77" s="19"/>
      <c r="G77" s="47"/>
      <c r="H77" s="47"/>
      <c r="I77" s="47"/>
      <c r="J77" s="47"/>
      <c r="K77" s="47"/>
      <c r="L77" s="47"/>
      <c r="M77" s="47"/>
      <c r="N77" s="47"/>
      <c r="O77" s="47"/>
    </row>
    <row r="78" spans="1:15" x14ac:dyDescent="0.2">
      <c r="N78" s="18" t="s">
        <v>74</v>
      </c>
    </row>
    <row r="79" spans="1:15" x14ac:dyDescent="0.2">
      <c r="I79" s="13" t="s">
        <v>71</v>
      </c>
      <c r="N79" s="13" t="s">
        <v>72</v>
      </c>
      <c r="O79" s="83">
        <v>7.1186945514116112E-2</v>
      </c>
    </row>
    <row r="80" spans="1:15" x14ac:dyDescent="0.2">
      <c r="B80" s="13" t="s">
        <v>104</v>
      </c>
      <c r="C80" s="13" t="s">
        <v>73</v>
      </c>
      <c r="D80" s="13" t="s">
        <v>74</v>
      </c>
      <c r="F80" s="13" t="s">
        <v>74</v>
      </c>
      <c r="I80" s="13" t="s">
        <v>75</v>
      </c>
      <c r="L80" s="13" t="s">
        <v>103</v>
      </c>
      <c r="N80" s="27" t="s">
        <v>76</v>
      </c>
      <c r="O80" s="79">
        <v>0.30487415696870424</v>
      </c>
    </row>
    <row r="81" spans="1:15" x14ac:dyDescent="0.2">
      <c r="A81" s="13" t="s">
        <v>7</v>
      </c>
      <c r="B81" s="23">
        <f>C81+D81</f>
        <v>46.235653043422765</v>
      </c>
      <c r="C81" s="82">
        <v>33.6</v>
      </c>
      <c r="D81" s="23">
        <f>C81*F81</f>
        <v>12.635653043422764</v>
      </c>
      <c r="F81" s="37">
        <f>O81</f>
        <v>0.37606110248282032</v>
      </c>
      <c r="H81" s="37"/>
      <c r="I81" s="12">
        <f>(B59*F59)/(B81*(52*40))/B12</f>
        <v>229.59305031152152</v>
      </c>
      <c r="L81" s="38">
        <f>B81*52*40</f>
        <v>96170.158330319362</v>
      </c>
      <c r="N81" s="13" t="s">
        <v>51</v>
      </c>
      <c r="O81" s="37">
        <f>SUM(O79:O80)</f>
        <v>0.37606110248282032</v>
      </c>
    </row>
    <row r="85" spans="1:15" x14ac:dyDescent="0.2">
      <c r="A85" s="18" t="s">
        <v>83</v>
      </c>
      <c r="B85" s="13" t="s">
        <v>87</v>
      </c>
      <c r="C85" s="13" t="s">
        <v>93</v>
      </c>
      <c r="F85" s="48" t="s">
        <v>67</v>
      </c>
      <c r="G85" s="21" t="s">
        <v>67</v>
      </c>
      <c r="I85" s="13" t="s">
        <v>67</v>
      </c>
      <c r="J85" s="13" t="s">
        <v>67</v>
      </c>
    </row>
    <row r="86" spans="1:15" x14ac:dyDescent="0.2">
      <c r="F86" s="48" t="s">
        <v>88</v>
      </c>
      <c r="G86" s="21" t="s">
        <v>89</v>
      </c>
      <c r="I86" s="13" t="s">
        <v>90</v>
      </c>
      <c r="J86" s="13" t="s">
        <v>51</v>
      </c>
    </row>
    <row r="87" spans="1:15" x14ac:dyDescent="0.2">
      <c r="A87" s="13" t="s">
        <v>84</v>
      </c>
      <c r="B87" s="22">
        <f>SUM(G33,G38:G39,G48)/$B$12</f>
        <v>2891512308.6342049</v>
      </c>
      <c r="C87" s="34">
        <f>B87*1/10^6</f>
        <v>2891.5123086342051</v>
      </c>
      <c r="F87" s="38">
        <f>C87*D92</f>
        <v>14884.545070288346</v>
      </c>
      <c r="G87" s="56">
        <f>C87*D93</f>
        <v>5523.2435164433709</v>
      </c>
      <c r="I87" s="38">
        <f>C87*D94</f>
        <v>3495.3139637649751</v>
      </c>
      <c r="J87" s="57">
        <f>SUM(F87:I87)</f>
        <v>23903.102550496693</v>
      </c>
    </row>
    <row r="88" spans="1:15" x14ac:dyDescent="0.2">
      <c r="A88" s="13" t="s">
        <v>85</v>
      </c>
      <c r="B88" s="22">
        <f>G47/B12</f>
        <v>3865391.8901238218</v>
      </c>
      <c r="C88" s="34">
        <f t="shared" ref="C88:C89" si="38">B88*1/10^6</f>
        <v>3.865391890123822</v>
      </c>
      <c r="F88" s="38">
        <f>C88*D93</f>
        <v>7.3835067662995844</v>
      </c>
      <c r="G88" s="56">
        <f>C88*D93</f>
        <v>7.3835067662995844</v>
      </c>
      <c r="I88" s="38">
        <f>C88*D94</f>
        <v>4.6725577507070826</v>
      </c>
      <c r="J88" s="57">
        <f t="shared" ref="J88:J89" si="39">SUM(F88:I88)</f>
        <v>19.43957128330625</v>
      </c>
    </row>
    <row r="89" spans="1:15" x14ac:dyDescent="0.2">
      <c r="A89" s="13" t="s">
        <v>86</v>
      </c>
      <c r="B89" s="22">
        <f>SUM(G44,G49:G50)/B12</f>
        <v>1431948777.1012928</v>
      </c>
      <c r="C89" s="34">
        <f t="shared" si="38"/>
        <v>1431.9487771012928</v>
      </c>
      <c r="F89" s="58">
        <f>C89*D94</f>
        <v>1730.9663669951567</v>
      </c>
      <c r="G89" s="59">
        <f>C89*D93</f>
        <v>2735.2474950174137</v>
      </c>
      <c r="H89" s="27"/>
      <c r="I89" s="58">
        <f>C89*D94</f>
        <v>1730.9663669951567</v>
      </c>
      <c r="J89" s="60">
        <f t="shared" si="39"/>
        <v>6197.1802290077276</v>
      </c>
    </row>
    <row r="90" spans="1:15" x14ac:dyDescent="0.2">
      <c r="F90" s="57">
        <f>SUM(F87:F89)</f>
        <v>16622.894944049804</v>
      </c>
      <c r="G90" s="57">
        <f>SUM(G87:G89)</f>
        <v>8265.8745182270832</v>
      </c>
      <c r="H90" s="57"/>
      <c r="I90" s="57">
        <f>SUM(I87:I89)</f>
        <v>5230.9528885108393</v>
      </c>
      <c r="J90" s="57">
        <f>SUM(J87:J89)</f>
        <v>30119.722350787728</v>
      </c>
    </row>
    <row r="91" spans="1:15" x14ac:dyDescent="0.2">
      <c r="C91" s="16" t="s">
        <v>102</v>
      </c>
      <c r="D91" s="16"/>
    </row>
    <row r="92" spans="1:15" x14ac:dyDescent="0.2">
      <c r="C92" s="13" t="s">
        <v>88</v>
      </c>
      <c r="D92" s="55">
        <f>21657.5/4207.245</f>
        <v>5.1476678919340326</v>
      </c>
    </row>
    <row r="93" spans="1:15" x14ac:dyDescent="0.2">
      <c r="C93" s="13" t="s">
        <v>89</v>
      </c>
      <c r="D93" s="55">
        <f>8036.5/4207.245</f>
        <v>1.910157359507231</v>
      </c>
    </row>
    <row r="94" spans="1:15" x14ac:dyDescent="0.2">
      <c r="C94" s="13" t="s">
        <v>90</v>
      </c>
      <c r="D94" s="55">
        <f>5085.5/4207</f>
        <v>1.2088186356073212</v>
      </c>
    </row>
  </sheetData>
  <dataValidations count="1">
    <dataValidation type="list" allowBlank="1" showInputMessage="1" showErrorMessage="1" sqref="B21" xr:uid="{CC45FF36-32D9-4887-9299-23A65691A63B}">
      <formula1>AnnYears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B7925955C5A46B10C7C56F769AFBC" ma:contentTypeVersion="18" ma:contentTypeDescription="Create a new document." ma:contentTypeScope="" ma:versionID="e6f30cb77117f36758d9a0a4d106321f">
  <xsd:schema xmlns:xsd="http://www.w3.org/2001/XMLSchema" xmlns:xs="http://www.w3.org/2001/XMLSchema" xmlns:p="http://schemas.microsoft.com/office/2006/metadata/properties" xmlns:ns1="http://schemas.microsoft.com/sharepoint/v3" xmlns:ns2="4895b406-50df-4b29-8f42-c4983538afc1" xmlns:ns3="825ed47e-6011-4c6d-92a4-152c83f49ef5" targetNamespace="http://schemas.microsoft.com/office/2006/metadata/properties" ma:root="true" ma:fieldsID="401a9b5a794b3234406b24a30f7add5a" ns1:_="" ns2:_="" ns3:_="">
    <xsd:import namespace="http://schemas.microsoft.com/sharepoint/v3"/>
    <xsd:import namespace="4895b406-50df-4b29-8f42-c4983538afc1"/>
    <xsd:import namespace="825ed47e-6011-4c6d-92a4-152c83f49ef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5b406-50df-4b29-8f42-c4983538af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756d3f0-423e-4153-a75f-c61993283122}" ma:internalName="TaxCatchAll" ma:showField="CatchAllData" ma:web="4895b406-50df-4b29-8f42-c4983538a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ed47e-6011-4c6d-92a4-152c83f49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f8f557f-9548-4d4c-b2c8-a6a7d23e7c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25ed47e-6011-4c6d-92a4-152c83f49ef5">
      <Terms xmlns="http://schemas.microsoft.com/office/infopath/2007/PartnerControls"/>
    </lcf76f155ced4ddcb4097134ff3c332f>
    <TaxCatchAll xmlns="4895b406-50df-4b29-8f42-c4983538afc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8A995-718F-4D7C-B5CD-FDBEFB6B5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95b406-50df-4b29-8f42-c4983538afc1"/>
    <ds:schemaRef ds:uri="825ed47e-6011-4c6d-92a4-152c83f49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138A94-4896-4228-8133-C9AF40DAAD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25ed47e-6011-4c6d-92a4-152c83f49ef5"/>
    <ds:schemaRef ds:uri="4895b406-50df-4b29-8f42-c4983538afc1"/>
  </ds:schemaRefs>
</ds:datastoreItem>
</file>

<file path=customXml/itemProps3.xml><?xml version="1.0" encoding="utf-8"?>
<ds:datastoreItem xmlns:ds="http://schemas.openxmlformats.org/officeDocument/2006/customXml" ds:itemID="{EA7A6830-E7FD-4804-8639-17C1EC671F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Mead, Ryan</dc:creator>
  <cp:lastModifiedBy>Mazur, Charles</cp:lastModifiedBy>
  <dcterms:created xsi:type="dcterms:W3CDTF">2026-05-20T15:35:35Z</dcterms:created>
  <dcterms:modified xsi:type="dcterms:W3CDTF">2026-06-15T17:19:58Z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0x010100173B7925955C5A46B10C7C56F769AFBC</vt:lpwstr>
  </property>
</Properties>
</file>